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1700" windowHeight="16400" activeTab="0"/>
  </bookViews>
  <sheets>
    <sheet name="PhysicalParam" sheetId="1" r:id="rId1"/>
    <sheet name="Pplot" sheetId="2" r:id="rId2"/>
    <sheet name="Tplot" sheetId="3" r:id="rId3"/>
  </sheets>
  <definedNames>
    <definedName name="_lg2">'PhysicalParam'!$D$49</definedName>
    <definedName name="a">'PhysicalParam'!$D$47</definedName>
    <definedName name="aabs">'PhysicalParam'!$F$54</definedName>
    <definedName name="Agap">'PhysicalParam'!$D$68</definedName>
    <definedName name="alpha">'PhysicalParam'!$D$31</definedName>
    <definedName name="ar">'PhysicalParam'!$F$53</definedName>
    <definedName name="b_2">'PhysicalParam'!$D$54</definedName>
    <definedName name="b_2par">'PhysicalParam'!$B$55</definedName>
    <definedName name="beta1">'PhysicalParam'!$B$46</definedName>
    <definedName name="beta2">'PhysicalParam'!$B$47</definedName>
    <definedName name="beta3">'PhysicalParam'!$B$48</definedName>
    <definedName name="beta3abs">'PhysicalParam'!$D$32</definedName>
    <definedName name="beta4">'PhysicalParam'!$B$49</definedName>
    <definedName name="beta5">'PhysicalParam'!$B$50</definedName>
    <definedName name="c_1">'PhysicalParam'!$B$24</definedName>
    <definedName name="clight">'PhysicalParam'!$B$9</definedName>
    <definedName name="crossal">'PhysicalParam'!$H$39</definedName>
    <definedName name="crossbe">'PhysicalParam'!$H$40</definedName>
    <definedName name="crossga">'PhysicalParam'!$H$41</definedName>
    <definedName name="cs">'PhysicalParam'!$I$60</definedName>
    <definedName name="d">'PhysicalParam'!$D$52</definedName>
    <definedName name="d_0">'PhysicalParam'!$B$56</definedName>
    <definedName name="dcpcn">'PhysicalParam'!$B$42</definedName>
    <definedName name="Delta_B">'PhysicalParam'!$H$23</definedName>
    <definedName name="deltap">'PhysicalParam'!$B$63</definedName>
    <definedName name="e">'PhysicalParam'!$D$8</definedName>
    <definedName name="eps0">'PhysicalParam'!$D$6</definedName>
    <definedName name="etaTs">'PhysicalParam'!$B$34</definedName>
    <definedName name="eV">'PhysicalParam'!$B$8</definedName>
    <definedName name="f0a">'PhysicalParam'!$B$28</definedName>
    <definedName name="f0s">'PhysicalParam'!$B$26</definedName>
    <definedName name="f1a">'PhysicalParam'!$B$30</definedName>
    <definedName name="f1s">'PhysicalParam'!$B$27</definedName>
    <definedName name="f2a">'PhysicalParam'!$B$31</definedName>
    <definedName name="f3a">'PhysicalParam'!$B$32</definedName>
    <definedName name="field">'PhysicalParam'!$D$18</definedName>
    <definedName name="g_d">'PhysicalParam'!$B$43</definedName>
    <definedName name="g_d2">'PhysicalParam'!#REF!</definedName>
    <definedName name="g_Z">'PhysicalParam'!$F$25</definedName>
    <definedName name="g3ds">'PhysicalParam'!$D$41</definedName>
    <definedName name="g5ds">'PhysicalParam'!$D$42</definedName>
    <definedName name="gapGL">'PhysicalParam'!$D$40</definedName>
    <definedName name="gaptsc">'PhysicalParam'!$D$39</definedName>
    <definedName name="gapwc">'PhysicalParam'!$D$38</definedName>
    <definedName name="gapwca">'PhysicalParam'!$H$38</definedName>
    <definedName name="GLanisot">'PhysicalParam'!$B$51</definedName>
    <definedName name="gmr">'PhysicalParam'!$B$11</definedName>
    <definedName name="h">'PhysicalParam'!$B$5</definedName>
    <definedName name="hbar">'PhysicalParam'!$B$6</definedName>
    <definedName name="K">'PhysicalParam'!$F$26</definedName>
    <definedName name="k_B">'PhysicalParam'!$B$7</definedName>
    <definedName name="k_F">'PhysicalParam'!$D$24</definedName>
    <definedName name="kappa">'PhysicalParam'!$B$13</definedName>
    <definedName name="kappaT">'PhysicalParam'!$B$35</definedName>
    <definedName name="l_T">'PhysicalParam'!$F$36</definedName>
    <definedName name="lambdaA_d">'PhysicalParam'!$H$52</definedName>
    <definedName name="Larmor">'PhysicalParam'!$F$21</definedName>
    <definedName name="lhv">'PhysicalParam'!$D$48</definedName>
    <definedName name="m_3">'PhysicalParam'!$B$12</definedName>
    <definedName name="m_e">'PhysicalParam'!$D$12</definedName>
    <definedName name="m_eff">'PhysicalParam'!$B$25</definedName>
    <definedName name="mu0">'PhysicalParam'!$D$5</definedName>
    <definedName name="N_A">'PhysicalParam'!$B$16</definedName>
    <definedName name="N0">'PhysicalParam'!$F$24</definedName>
    <definedName name="nu_A">'PhysicalParam'!$H$53</definedName>
    <definedName name="nu_B">'PhysicalParam'!$F$38</definedName>
    <definedName name="Omega">'PhysicalParam'!$B$60</definedName>
    <definedName name="Omg_d">'PhysicalParam'!$F$29</definedName>
    <definedName name="p" localSheetId="1">'Pplot'!$B$17</definedName>
    <definedName name="p">'PhysicalParam'!$B$18</definedName>
    <definedName name="p_F">'PhysicalParam'!$D$22</definedName>
    <definedName name="pmelt">'PhysicalParam'!$D$9</definedName>
    <definedName name="radius">'PhysicalParam'!$B$61</definedName>
    <definedName name="Rgas">'PhysicalParam'!$B$15</definedName>
    <definedName name="rho">'PhysicalParam'!$D$21</definedName>
    <definedName name="rho_s">'PhysicalParam'!$D$45</definedName>
    <definedName name="rhoAapu">'PhysicalParam'!$H$42</definedName>
    <definedName name="rhol">'PhysicalParam'!$B$61</definedName>
    <definedName name="rhos">'PhysicalParam'!$B$60</definedName>
    <definedName name="sheat">'PhysicalParam'!$B$22</definedName>
    <definedName name="sigma">'PhysicalParam'!$B$62</definedName>
    <definedName name="susn">'PhysicalParam'!$D$35</definedName>
    <definedName name="susr">'PhysicalParam'!$D$46</definedName>
    <definedName name="T_c">'PhysicalParam'!$B$37</definedName>
    <definedName name="T_F">'PhysicalParam'!$F$34</definedName>
    <definedName name="tau_eta_T_2">'PhysicalParam'!$D$33</definedName>
    <definedName name="tau_kappa_T_2">'PhysicalParam'!$D$34</definedName>
    <definedName name="temp">'PhysicalParam'!$B$19</definedName>
    <definedName name="tempr">'PhysicalParam'!$B$38</definedName>
    <definedName name="v_dB">'PhysicalParam'!$D$51</definedName>
    <definedName name="v_F">'PhysicalParam'!$D$23</definedName>
    <definedName name="vcr">'PhysicalParam'!$H$18</definedName>
    <definedName name="vol">'PhysicalParam'!$B$21</definedName>
    <definedName name="xi_0">'PhysicalParam'!$F$33</definedName>
    <definedName name="xi_d">'PhysicalParam'!$F$27</definedName>
    <definedName name="xi_dGL">'PhysicalParam'!$F$27</definedName>
    <definedName name="xi_GL1">'PhysicalParam'!$D$28</definedName>
    <definedName name="xi_GL2">'PhysicalParam'!$D$27</definedName>
    <definedName name="xi_H">'PhysicalParam'!$D$50</definedName>
    <definedName name="yos">'PhysicalParam'!$D$44</definedName>
    <definedName name="zeta3">'PhysicalParam'!$D$4</definedName>
  </definedNames>
  <calcPr fullCalcOnLoad="1"/>
</workbook>
</file>

<file path=xl/sharedStrings.xml><?xml version="1.0" encoding="utf-8"?>
<sst xmlns="http://schemas.openxmlformats.org/spreadsheetml/2006/main" count="174" uniqueCount="173">
  <si>
    <t>xi_H, hydrostatic coefficient, TSC (m)</t>
  </si>
  <si>
    <t>v_d^BGL, B phase v_d in GL theory (m/s)</t>
  </si>
  <si>
    <t>beta1, beta1/(beta_3,wc), Sauls-Serene 81</t>
  </si>
  <si>
    <t>Kbar_5, A phase hydrostatic coefficient reduced to rho_ll</t>
  </si>
  <si>
    <t>gmr, 3He gyromagnetic ratio (rad/T s)</t>
  </si>
  <si>
    <t>lg2GL, hydrostatic gradient coefficient (J/m)</t>
  </si>
  <si>
    <t>Kbar_t, A phase hydrostatic coefficient reduced to rho_ll</t>
  </si>
  <si>
    <t>beta4, beta4/(beta_3,wc), Sauls-Serene 81</t>
  </si>
  <si>
    <t>lg2, hydrostatic gradient coefficient, TSC (J/m)</t>
  </si>
  <si>
    <t>aabs, normal state limit value of TSC hydrostatic a parameter/mu_0^2 (J/m^3 T^2)</t>
  </si>
  <si>
    <t>nmrfreqA(T,B) (Hz)</t>
  </si>
  <si>
    <t>b_2par, surface parameter in B phase, diffuse, F0a=0 (g_d*Delta^2*xi_GL1) [Viljas-Thuneberg01]</t>
  </si>
  <si>
    <t>beta3abs, beta_3wc (1/J^3 m^3)</t>
  </si>
  <si>
    <t>tau_eta_T_2, tau_eta T^2=5*etaTs/(N_A/vol*v_F^2*m_eff*m_3) (s K^2)</t>
  </si>
  <si>
    <t>xi_0 (m)</t>
  </si>
  <si>
    <t>tau_kappa_T_2, tau_kappa T^2 (s K^2)</t>
  </si>
  <si>
    <t>T_F,  according to effective mass (K)</t>
  </si>
  <si>
    <t>T_c/T_F</t>
  </si>
  <si>
    <t>susn, normal state magnetic susceptibility (SI)</t>
  </si>
  <si>
    <t>mean free path of quasiparticle in the normal state, temperature dependent (m)</t>
  </si>
  <si>
    <t>d_0, GL integral for surface hydrodynamic coefficient d, diffusive limit [Thuneberg01]</t>
  </si>
  <si>
    <t>v_d^BGL, B phase v_d in GL theory (m/s), (15.39)</t>
  </si>
  <si>
    <t>e_c/e_f for g_d  [Thuneberg01]</t>
  </si>
  <si>
    <t>g_d simple</t>
  </si>
  <si>
    <t>special applications *****************************************************************</t>
  </si>
  <si>
    <t>Fundamental constants **************************************************************************</t>
  </si>
  <si>
    <t>proton mass (kg)</t>
  </si>
  <si>
    <t>zeta3</t>
  </si>
  <si>
    <t>lightyear (m)</t>
  </si>
  <si>
    <t>h, Planck's constant h (J s)</t>
  </si>
  <si>
    <t>mu0 (N/A^2=m^3 T^2/J)</t>
  </si>
  <si>
    <t>sun-jupiter (m)</t>
  </si>
  <si>
    <t>hbar, Planck's constant (J s)</t>
  </si>
  <si>
    <t>eps0(F/m)</t>
  </si>
  <si>
    <t>earth radius (m)</t>
  </si>
  <si>
    <t>k_B, Boltzmann constant (J/K)</t>
  </si>
  <si>
    <t>m_e (kg)</t>
  </si>
  <si>
    <t>e_c/e_f</t>
  </si>
  <si>
    <t>p</t>
  </si>
  <si>
    <t>nu_B, parallel resonance frequency in B phase, trivial strong coupling (Hz)</t>
  </si>
  <si>
    <t>gapwca, bcsgapa(tempr), maximum of the Aphase anisotropic energy gap/(k_B*T_c)</t>
  </si>
  <si>
    <t>Gap frequency, B phase (Hz)</t>
  </si>
  <si>
    <t>gaptsc, trivial strong-coupling gap(T/T_c)/(k_B*T_c)</t>
  </si>
  <si>
    <t>nmrfreqB(T,B) at wall parallel to the field (Hz)</t>
  </si>
  <si>
    <t>crossal, Cross's alpha function for A phase hydrostatics</t>
  </si>
  <si>
    <t>n</t>
  </si>
  <si>
    <t>hbar*v_F*p_F/(2*PI()*k_B*temp)^2 (s)</t>
  </si>
  <si>
    <t>tau(T) (s)</t>
  </si>
  <si>
    <t>g_d simple (1e45/J m^3)</t>
  </si>
  <si>
    <t>g_d (1e45/J m^3) [collisionless, Thuneberg00 fit]</t>
  </si>
  <si>
    <t>gapAwc^2</t>
  </si>
  <si>
    <t>gapB^2</t>
  </si>
  <si>
    <t>lambda f</t>
  </si>
  <si>
    <t>1-yos</t>
  </si>
  <si>
    <t>temp</t>
  </si>
  <si>
    <t>gap</t>
  </si>
  <si>
    <t>yos</t>
  </si>
  <si>
    <t>rho_s/rho</t>
  </si>
  <si>
    <t>rhobar_ll, A phase hydrostatic coefficient reduced to rho_ll</t>
  </si>
  <si>
    <t>yos, Yosida function (T)</t>
  </si>
  <si>
    <t>rhobar_perp, A phase hydrostatic coefficient reduced to rho_ll</t>
  </si>
  <si>
    <t>rho_s, rho_s(T) (kg/m^3)</t>
  </si>
  <si>
    <t>Cbar, A phase hydrostatic coefficient reduced to rho_ll</t>
  </si>
  <si>
    <t>field (T)</t>
  </si>
  <si>
    <t>xi_HGL, hydrostatic coefficient in GL theory (m)</t>
  </si>
  <si>
    <t>Kbar_b, A phase hydrostatic coefficient reduced to rho_ll</t>
  </si>
  <si>
    <t>beta5, beta5/(beta_3,wc), Sauls-Serene 81</t>
  </si>
  <si>
    <t>Cbar_0, A phase hydrostatic coefficient reduced to rho_ll</t>
  </si>
  <si>
    <t>beta2, beta2/(beta_3,wc), Sauls-Serene 81</t>
  </si>
  <si>
    <t>a, hydrostatic a parameter/mu_0^2,  TSC (J/m^3 T^2)</t>
  </si>
  <si>
    <t>lhvGL/mu_0^2, GL limit of hydrostatic coefficient (kg/m^3 T^2)</t>
  </si>
  <si>
    <t>Kbar_s, A phase hydrostatic coefficient reduced to rho_ll</t>
  </si>
  <si>
    <t>beta3, beta3/(beta_3,wc), Sauls-Serene 81</t>
  </si>
  <si>
    <t>lhv, lhv/mu_0^2, hydrostatic coefficient, TSC (kg/m^3 T^2)</t>
  </si>
  <si>
    <t>room temp (K)</t>
  </si>
  <si>
    <t>m_3, 3He mass (kg)</t>
  </si>
  <si>
    <t>m_e, electron mass (kg)</t>
  </si>
  <si>
    <t>kappa, 3He circulation (m^2/s)</t>
  </si>
  <si>
    <t>grav, gravity (m/s^2)</t>
  </si>
  <si>
    <t>Rgas, gas constant R (J/K mol), = k_B*N_A</t>
  </si>
  <si>
    <t>N_A, Avogadro's constant (1/mol)</t>
  </si>
  <si>
    <t>Variables **************************************************************************************</t>
  </si>
  <si>
    <t xml:space="preserve">p, pressure (bar) </t>
  </si>
  <si>
    <t>d/a, all T (m)</t>
  </si>
  <si>
    <t>ar, a(T)/a(T_c)</t>
  </si>
  <si>
    <t>nu_A, parallel resonance frequency in A phase, weak coupling (Hz)</t>
  </si>
  <si>
    <t>b_2 (J/m^2)</t>
  </si>
  <si>
    <t>temp, temperature (K)</t>
  </si>
  <si>
    <t>Primary quantities ****************</t>
  </si>
  <si>
    <t>General derived quantities *************************************************</t>
  </si>
  <si>
    <t>vol, volume per mole (m^3) [Greywall86 fit]</t>
  </si>
  <si>
    <t>rho, density (kg/m^3)</t>
  </si>
  <si>
    <t>Larmor, Larmor frequency (Hz)</t>
  </si>
  <si>
    <t>sheat, C/nRT (1/K) [Greywall86]</t>
  </si>
  <si>
    <t>p_F (kg m/s)</t>
  </si>
  <si>
    <t>T_Fidela, according to ideal gas density (K)</t>
  </si>
  <si>
    <t>Omega tau</t>
  </si>
  <si>
    <t>deltaC_B/C_N [Sauls-Serene 81]</t>
  </si>
  <si>
    <t>K, gradient Ginzburg-Landau parameter (1/J m)</t>
  </si>
  <si>
    <t>f1s</t>
  </si>
  <si>
    <t>xi_GL2, (m) xi(T) assuming inverse gap temperature dependence</t>
  </si>
  <si>
    <t>xi_dGL (m), GL=limit of A phase= limit of B phase (15.39)</t>
  </si>
  <si>
    <t>f0a [Thuneberg01 fit]</t>
  </si>
  <si>
    <t>F_A/F_B gl</t>
  </si>
  <si>
    <t>xi_GL1, (m) xi(T) assuming temperature dependence (1-T/T_c)^(-1/2)</t>
  </si>
  <si>
    <t>xi_sd (m)</t>
  </si>
  <si>
    <t>lg1/lg2, hydrostatic gradient coefficient</t>
  </si>
  <si>
    <t>H_dGL (T/mu_0), GL=limit of A phase= limit of B phase (15.38)</t>
  </si>
  <si>
    <t>f0a [Halperin-Varoquaux90 fit]</t>
  </si>
  <si>
    <t>xi(T=0) (m) assuming temperature dependence (1-T/T_c)^(-1/2)</t>
  </si>
  <si>
    <t>Omg_d (rad/s)</t>
  </si>
  <si>
    <t>v_dA (m/s)</t>
  </si>
  <si>
    <t>f1a [Halperin-Varoquaux90 fit]</t>
  </si>
  <si>
    <t>beta3, Sauls-Serene 81 (1/J^3 m^3)</t>
  </si>
  <si>
    <t>Fermi wave length (m)</t>
  </si>
  <si>
    <t>f2a [guess]</t>
  </si>
  <si>
    <t>alpha(T), Ginzburg-Landau parameter, wc (1/J m^3)</t>
  </si>
  <si>
    <t>T* (K) [Halperin-Varoquaux90-http://spindry.phys.nwu.edu/TabCalc/TabJava.html]</t>
  </si>
  <si>
    <t>v_F, Fermi velocity (m/s) [calculated]</t>
  </si>
  <si>
    <t>c_1 (m/s) [Halperin-Varoquaux90 fit]</t>
  </si>
  <si>
    <t>k_F (1/m)</t>
  </si>
  <si>
    <t>N0, density of states for spin up, N(0) (1/J m^3)</t>
  </si>
  <si>
    <t>m_eff, m_eff/m_3</t>
  </si>
  <si>
    <t>deltaC_A/C_N [Sauls-Serene 81]</t>
  </si>
  <si>
    <t>g_Z/mu_0^2, magnetic Ginzburg-Landau parameter, (1/T^2 J m^3)</t>
  </si>
  <si>
    <t>f0s</t>
  </si>
  <si>
    <t>f3a [guess]</t>
  </si>
  <si>
    <t>T_c (K)  [Greywall86]</t>
  </si>
  <si>
    <t>*** B phase ********************************</t>
  </si>
  <si>
    <t>*** A phase ***********</t>
  </si>
  <si>
    <t>tempr, temp/T_c</t>
  </si>
  <si>
    <t>gapwc, bcsgap(tempr), gap/(k_B*T_c)</t>
  </si>
  <si>
    <t>dcpcn, deltaC_B/C_N [Greywall86]</t>
  </si>
  <si>
    <t>g5ds, Z_5/gap^2</t>
  </si>
  <si>
    <t>rhoAapu, rho_ll except some common factors</t>
  </si>
  <si>
    <t>g_d (1/J m^3) [collisionless, Thuneberg01 fit]</t>
  </si>
  <si>
    <t>g7ds, Z_7/gap^2</t>
  </si>
  <si>
    <t xml:space="preserve">Parameters of 3He at arbitrary pressure and temperature </t>
  </si>
  <si>
    <t>Ref. http://boojum.hut.fi/research/theory/btex.html</t>
  </si>
  <si>
    <t>pair breaking frequency, tsc (Hz)</t>
  </si>
  <si>
    <t>deltaC_A/C_N [Gerywall86, Tang91, file SpecificHeatJumpA]</t>
  </si>
  <si>
    <t>gapGL, gap/(k_B*T_c) based on extrapolation of GL theory</t>
  </si>
  <si>
    <t>crossbe, Cross's beta function for A phase hydrostatics</t>
  </si>
  <si>
    <t>deltaC_A/C_N [Greywall86, do not use below 21 bar]</t>
  </si>
  <si>
    <t>g3ds, Z_3/gap^2</t>
  </si>
  <si>
    <t>crossga, Cross's gamma function for A phase hydrostatics</t>
  </si>
  <si>
    <t>earth-sun (m)</t>
  </si>
  <si>
    <t>eV, 1 eV (J)</t>
  </si>
  <si>
    <t>e (C)</t>
  </si>
  <si>
    <t>clight, speed of light (m/s)</t>
  </si>
  <si>
    <t>pmelt (bar) at T_c, Greywall86</t>
  </si>
  <si>
    <t>v_dB, B phase hydrostatic, TSC (m/s)</t>
  </si>
  <si>
    <t>dGL, surface hydrostatic parameter/mu_0^2 (J/m^2 T^2)</t>
  </si>
  <si>
    <t>Kbar_6, A phase hydrostatic coefficient reduced to rho_ll</t>
  </si>
  <si>
    <t>d, GL surface hydrostatic parameter/mu_0^2, extrapolated to all T (J/m^2 T^2)</t>
  </si>
  <si>
    <t>d/aGL (m)</t>
  </si>
  <si>
    <t>lambdaA_d, weak coupling A phase (J/m^3)</t>
  </si>
  <si>
    <t>susr,  sus(T)/sus_n, B phase, TSC</t>
  </si>
  <si>
    <t>aGL/mu_0^2 (J/m^3 T^2)</t>
  </si>
  <si>
    <t>etaTs, normal state viscosity*T^2 (kg K^2/m s) [Wheatley75]</t>
  </si>
  <si>
    <t>kappaT, normal state heat conductivity*T (J/m s) [Wheatley75]</t>
  </si>
  <si>
    <t>cell radius (m)</t>
  </si>
  <si>
    <t>tauKappa(T) (s)</t>
  </si>
  <si>
    <t>GLanisot, GL gradient-energy anisotropy parameter gamma</t>
  </si>
  <si>
    <t>v_max (m/s), maximal spin wave velocity for both transverse and longitudinal oscillation</t>
  </si>
  <si>
    <t>v_mintrans (m/s), minimum spin wave velocity for transverse oscillation</t>
  </si>
  <si>
    <t>v_minlong, characteristic spin wave velocity TSC, minimum spin wave velocity for longitudinal oscillation, see NMR notes (m/s)</t>
  </si>
  <si>
    <t>Omega, rotation angular velocity (rad/s)</t>
  </si>
  <si>
    <t>vcr, vortex cell radius (m)</t>
  </si>
  <si>
    <t>nu_B/larmor</t>
  </si>
  <si>
    <t>m</t>
  </si>
  <si>
    <t>vortex number</t>
  </si>
  <si>
    <t>vortex spacing in triangular lattice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</si>
</sst>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mk&quot;;\-#,##0&quot; mk&quot;"/>
    <numFmt numFmtId="181" formatCode="#,##0&quot; mk&quot;;[Red]\-#,##0&quot; mk&quot;"/>
    <numFmt numFmtId="182" formatCode="#,##0.00&quot; mk&quot;;\-#,##0.00&quot; mk&quot;"/>
    <numFmt numFmtId="183" formatCode="#,##0.00&quot; mk&quot;;[Red]\-#,##0.00&quot; mk&quot;"/>
    <numFmt numFmtId="184" formatCode="_-* #,##0&quot; mk&quot;_-;\-* #,##0&quot; mk&quot;_-;_-* &quot;-&quot;&quot; mk&quot;_-;_-@_-"/>
    <numFmt numFmtId="185" formatCode="_-* #,##0_ _m_k_-;\-* #,##0_ _m_k_-;_-* &quot;-&quot;_ _m_k_-;_-@_-"/>
    <numFmt numFmtId="186" formatCode="_-* #,##0.00&quot; mk&quot;_-;\-* #,##0.00&quot; mk&quot;_-;_-* &quot;-&quot;??&quot; mk&quot;_-;_-@_-"/>
    <numFmt numFmtId="187" formatCode="_-* #,##0.00_ _m_k_-;\-* #,##0.00_ _m_k_-;_-* &quot;-&quot;??_ _m_k_-;_-@_-"/>
    <numFmt numFmtId="188" formatCode="&quot;£ &quot;#,##0;\-&quot;£ &quot;#,##0"/>
    <numFmt numFmtId="189" formatCode="&quot;£ &quot;#,##0;[Red]\-&quot;£ &quot;#,##0"/>
    <numFmt numFmtId="190" formatCode="&quot;£ &quot;#,##0.00;\-&quot;£ &quot;#,##0.00"/>
    <numFmt numFmtId="191" formatCode="&quot;£ &quot;#,##0.00;[Red]\-&quot;£ &quot;#,##0.00"/>
    <numFmt numFmtId="192" formatCode="_-&quot;£ &quot;* #,##0_-;\-&quot;£ &quot;* #,##0_-;_-&quot;£ &quot;* &quot;-&quot;_-;_-@_-"/>
    <numFmt numFmtId="193" formatCode="_-&quot;£ &quot;* #,##0.00_-;\-&quot;£ &quot;* #,##0.00_-;_-&quot;£ &quot;* &quot;-&quot;??_-;_-@_-"/>
    <numFmt numFmtId="194" formatCode="0.0000"/>
    <numFmt numFmtId="195" formatCode="0.0000000"/>
    <numFmt numFmtId="196" formatCode="0.000"/>
    <numFmt numFmtId="197" formatCode="0.000E+00"/>
    <numFmt numFmtId="198" formatCode="0.000\ 000"/>
    <numFmt numFmtId="199" formatCode="000\ 000"/>
    <numFmt numFmtId="200" formatCode="0,000"/>
    <numFmt numFmtId="201" formatCode="0.000000"/>
    <numFmt numFmtId="202" formatCode="0.0"/>
  </numFmts>
  <fonts count="47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12"/>
      <name val="Geneva"/>
      <family val="0"/>
    </font>
    <font>
      <sz val="10"/>
      <color indexed="3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0" xfId="57" applyFont="1">
      <alignment/>
      <protection/>
    </xf>
    <xf numFmtId="197" fontId="0" fillId="0" borderId="0" xfId="57" applyNumberFormat="1" applyFont="1">
      <alignment/>
      <protection/>
    </xf>
    <xf numFmtId="2" fontId="0" fillId="0" borderId="0" xfId="57" applyNumberFormat="1" applyFont="1">
      <alignment/>
      <protection/>
    </xf>
    <xf numFmtId="194" fontId="0" fillId="0" borderId="0" xfId="57" applyNumberFormat="1" applyFont="1">
      <alignment/>
      <protection/>
    </xf>
    <xf numFmtId="0" fontId="0" fillId="0" borderId="0" xfId="57" applyNumberFormat="1" applyFont="1">
      <alignment/>
      <protection/>
    </xf>
    <xf numFmtId="0" fontId="0" fillId="0" borderId="0" xfId="57">
      <alignment/>
      <protection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198" fontId="0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0" fillId="0" borderId="0" xfId="57" applyNumberFormat="1" applyFont="1">
      <alignment/>
      <protection/>
    </xf>
    <xf numFmtId="199" fontId="0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8" fontId="0" fillId="0" borderId="0" xfId="0" applyNumberFormat="1" applyFont="1" applyBorder="1" applyAlignment="1">
      <alignment/>
    </xf>
    <xf numFmtId="198" fontId="0" fillId="0" borderId="0" xfId="0" applyNumberFormat="1" applyBorder="1" applyAlignment="1">
      <alignment/>
    </xf>
    <xf numFmtId="1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0" fillId="0" borderId="0" xfId="57" applyFont="1">
      <alignment/>
      <protection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ysicalParam(p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85"/>
          <c:w val="0.62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Pplot!$B$2</c:f>
              <c:strCache>
                <c:ptCount val="1"/>
                <c:pt idx="0">
                  <c:v>g_d simple (1e45/J m^3)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Pplot!$A$3:$A$38</c:f>
              <c:numCache/>
            </c:numRef>
          </c:xVal>
          <c:yVal>
            <c:numRef>
              <c:f>Pplot!$B$3:$B$38</c:f>
              <c:numCache/>
            </c:numRef>
          </c:yVal>
          <c:smooth val="0"/>
        </c:ser>
        <c:ser>
          <c:idx val="1"/>
          <c:order val="1"/>
          <c:tx>
            <c:strRef>
              <c:f>Pplot!$C$2</c:f>
              <c:strCache>
                <c:ptCount val="1"/>
                <c:pt idx="0">
                  <c:v>g_d (1e45/J m^3) [collisionless, Thuneberg00 fit]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Pplot!$A$3:$A$38</c:f>
              <c:numCache/>
            </c:numRef>
          </c:xVal>
          <c:yVal>
            <c:numRef>
              <c:f>Pplot!$C$3:$C$38</c:f>
              <c:numCache/>
            </c:numRef>
          </c:yVal>
          <c:smooth val="0"/>
        </c:ser>
        <c:ser>
          <c:idx val="2"/>
          <c:order val="2"/>
          <c:tx>
            <c:strRef>
              <c:f>Pplot!$D$2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Pplot!$A$3:$A$38</c:f>
              <c:numCache/>
            </c:numRef>
          </c:xVal>
          <c:yVal>
            <c:numRef>
              <c:f>Pplot!$D$3:$D$38</c:f>
              <c:numCache/>
            </c:numRef>
          </c:yVal>
          <c:smooth val="0"/>
        </c:ser>
        <c:ser>
          <c:idx val="3"/>
          <c:order val="3"/>
          <c:tx>
            <c:strRef>
              <c:f>Pplot!$E$2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Pplot!$A$3:$A$38</c:f>
              <c:numCache/>
            </c:numRef>
          </c:xVal>
          <c:yVal>
            <c:numRef>
              <c:f>Pplot!$E$3:$E$38</c:f>
              <c:numCache/>
            </c:numRef>
          </c:yVal>
          <c:smooth val="0"/>
        </c:ser>
        <c:ser>
          <c:idx val="4"/>
          <c:order val="4"/>
          <c:tx>
            <c:strRef>
              <c:f>Pplot!$F$2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Pplot!$A$3:$A$38</c:f>
              <c:numCache/>
            </c:numRef>
          </c:xVal>
          <c:yVal>
            <c:numRef>
              <c:f>Pplot!$F$3:$F$38</c:f>
              <c:numCache/>
            </c:numRef>
          </c:yVal>
          <c:smooth val="0"/>
        </c:ser>
        <c:ser>
          <c:idx val="5"/>
          <c:order val="5"/>
          <c:tx>
            <c:strRef>
              <c:f>Pplot!$G$2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Pplot!$A$3:$A$38</c:f>
              <c:numCache/>
            </c:numRef>
          </c:xVal>
          <c:yVal>
            <c:numRef>
              <c:f>Pplot!$G$3:$G$38</c:f>
              <c:numCache/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  <c:max val="35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 val="autoZero"/>
        <c:crossBetween val="midCat"/>
        <c:dispUnits/>
      </c:valAx>
      <c:valAx>
        <c:axId val="59927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07725"/>
          <c:w val="0.331"/>
          <c:h val="0.7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25"/>
          <c:w val="0.81975"/>
          <c:h val="0.9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Tplot!$B$4</c:f>
              <c:strCache>
                <c:ptCount val="1"/>
                <c:pt idx="0">
                  <c:v>gapAwc^2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Tplot!$A$5:$A$15</c:f>
              <c:numCache/>
            </c:numRef>
          </c:xVal>
          <c:yVal>
            <c:numRef>
              <c:f>Tplot!$B$5:$B$15</c:f>
              <c:numCache/>
            </c:numRef>
          </c:yVal>
          <c:smooth val="0"/>
        </c:ser>
        <c:ser>
          <c:idx val="1"/>
          <c:order val="1"/>
          <c:tx>
            <c:strRef>
              <c:f>Tplot!$C$4</c:f>
              <c:strCache>
                <c:ptCount val="1"/>
                <c:pt idx="0">
                  <c:v>gapB^2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Tplot!$A$5:$A$15</c:f>
              <c:numCache/>
            </c:numRef>
          </c:xVal>
          <c:yVal>
            <c:numRef>
              <c:f>Tplot!$C$5:$C$15</c:f>
              <c:numCache/>
            </c:numRef>
          </c:yVal>
          <c:smooth val="0"/>
        </c:ser>
        <c:ser>
          <c:idx val="2"/>
          <c:order val="2"/>
          <c:tx>
            <c:strRef>
              <c:f>Tplot!$D$4</c:f>
              <c:strCache>
                <c:ptCount val="1"/>
                <c:pt idx="0">
                  <c:v>lambda 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Tplot!$A$5:$A$15</c:f>
              <c:numCache/>
            </c:numRef>
          </c:xVal>
          <c:yVal>
            <c:numRef>
              <c:f>Tplot!$D$5:$D$15</c:f>
              <c:numCache/>
            </c:numRef>
          </c:yVal>
          <c:smooth val="0"/>
        </c:ser>
        <c:ser>
          <c:idx val="3"/>
          <c:order val="3"/>
          <c:tx>
            <c:strRef>
              <c:f>Tplot!$E$4</c:f>
              <c:strCache>
                <c:ptCount val="1"/>
                <c:pt idx="0">
                  <c:v>1-yos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Tplot!$A$5:$A$15</c:f>
              <c:numCache/>
            </c:numRef>
          </c:xVal>
          <c:yVal>
            <c:numRef>
              <c:f>Tplot!$E$5:$E$15</c:f>
              <c:numCache/>
            </c:numRef>
          </c:yVal>
          <c:smooth val="0"/>
        </c:ser>
        <c:ser>
          <c:idx val="4"/>
          <c:order val="4"/>
          <c:tx>
            <c:strRef>
              <c:f>Tplot!$F$4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Tplot!$A$5:$A$15</c:f>
              <c:numCache/>
            </c:numRef>
          </c:xVal>
          <c:yVal>
            <c:numRef>
              <c:f>Tplot!$F$5:$F$15</c:f>
              <c:numCache/>
            </c:numRef>
          </c:yVal>
          <c:smooth val="0"/>
        </c:ser>
        <c:axId val="2474276"/>
        <c:axId val="22268485"/>
      </c:scatterChart>
      <c:valAx>
        <c:axId val="2474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 val="autoZero"/>
        <c:crossBetween val="midCat"/>
        <c:dispUnits/>
      </c:valAx>
      <c:valAx>
        <c:axId val="22268485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3705"/>
          <c:w val="0.142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75"/>
          <c:w val="0.7927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Tplot!$B$18</c:f>
              <c:strCache>
                <c:ptCount val="1"/>
                <c:pt idx="0">
                  <c:v>gap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Tplot!$A$19:$A$39</c:f>
              <c:numCache/>
            </c:numRef>
          </c:xVal>
          <c:yVal>
            <c:numRef>
              <c:f>Tplot!$B$19:$B$39</c:f>
              <c:numCache/>
            </c:numRef>
          </c:yVal>
          <c:smooth val="1"/>
        </c:ser>
        <c:ser>
          <c:idx val="1"/>
          <c:order val="1"/>
          <c:tx>
            <c:strRef>
              <c:f>Tplot!$C$18</c:f>
              <c:strCache>
                <c:ptCount val="1"/>
                <c:pt idx="0">
                  <c:v>yos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Tplot!$A$19:$A$39</c:f>
              <c:numCache/>
            </c:numRef>
          </c:xVal>
          <c:yVal>
            <c:numRef>
              <c:f>Tplot!$C$19:$C$39</c:f>
              <c:numCache/>
            </c:numRef>
          </c:yVal>
          <c:smooth val="1"/>
        </c:ser>
        <c:ser>
          <c:idx val="2"/>
          <c:order val="2"/>
          <c:tx>
            <c:strRef>
              <c:f>Tplot!$D$18</c:f>
              <c:strCache>
                <c:ptCount val="1"/>
                <c:pt idx="0">
                  <c:v>rho_s/rho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Tplot!$A$19:$A$39</c:f>
              <c:numCache/>
            </c:numRef>
          </c:xVal>
          <c:yVal>
            <c:numRef>
              <c:f>Tplot!$D$19:$D$39</c:f>
              <c:numCache/>
            </c:numRef>
          </c:yVal>
          <c:smooth val="1"/>
        </c:ser>
        <c:axId val="66198638"/>
        <c:axId val="58916831"/>
      </c:scatterChart>
      <c:val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crossBetween val="midCat"/>
        <c:dispUnits/>
      </c:valAx>
      <c:valAx>
        <c:axId val="589168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955"/>
          <c:w val="0.16775"/>
          <c:h val="0.1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</xdr:row>
      <xdr:rowOff>142875</xdr:rowOff>
    </xdr:from>
    <xdr:to>
      <xdr:col>9</xdr:col>
      <xdr:colOff>657225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133725" y="485775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6</xdr:row>
      <xdr:rowOff>9525</xdr:rowOff>
    </xdr:from>
    <xdr:to>
      <xdr:col>14</xdr:col>
      <xdr:colOff>819150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6381750" y="1009650"/>
        <a:ext cx="6286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14</xdr:row>
      <xdr:rowOff>123825</xdr:rowOff>
    </xdr:from>
    <xdr:to>
      <xdr:col>12</xdr:col>
      <xdr:colOff>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4495800" y="2495550"/>
        <a:ext cx="56769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8"/>
  <sheetViews>
    <sheetView tabSelected="1" zoomScale="125" zoomScaleNormal="125" zoomScalePageLayoutView="0" workbookViewId="0" topLeftCell="A1">
      <selection activeCell="J22" sqref="J22"/>
    </sheetView>
  </sheetViews>
  <sheetFormatPr defaultColWidth="11.00390625" defaultRowHeight="12.75"/>
  <cols>
    <col min="1" max="1" width="20.25390625" style="1" customWidth="1"/>
    <col min="2" max="2" width="12.00390625" style="1" customWidth="1"/>
    <col min="3" max="3" width="11.75390625" style="1" bestFit="1" customWidth="1"/>
    <col min="4" max="5" width="12.00390625" style="1" customWidth="1"/>
    <col min="6" max="6" width="11.75390625" style="1" customWidth="1"/>
    <col min="7" max="8" width="12.00390625" style="1" customWidth="1"/>
    <col min="9" max="10" width="11.75390625" style="1" bestFit="1" customWidth="1"/>
    <col min="11" max="16384" width="10.75390625" style="1" customWidth="1"/>
  </cols>
  <sheetData>
    <row r="1" ht="13.5">
      <c r="A1" s="1" t="s">
        <v>137</v>
      </c>
    </row>
    <row r="2" ht="13.5">
      <c r="A2" s="1" t="s">
        <v>138</v>
      </c>
    </row>
    <row r="3" ht="13.5">
      <c r="A3" s="1" t="s">
        <v>25</v>
      </c>
    </row>
    <row r="4" spans="1:8" ht="13.5">
      <c r="A4" s="1" t="s">
        <v>26</v>
      </c>
      <c r="B4" s="4">
        <v>1.6726231E-27</v>
      </c>
      <c r="C4" s="1" t="s">
        <v>27</v>
      </c>
      <c r="D4" s="1">
        <v>1.2020569</v>
      </c>
      <c r="E4" s="1" t="s">
        <v>28</v>
      </c>
      <c r="F4" s="4">
        <f>clight*365*24*60*60</f>
        <v>9454254955488000</v>
      </c>
      <c r="G4" s="4"/>
      <c r="H4" s="2"/>
    </row>
    <row r="5" spans="1:8" ht="13.5">
      <c r="A5" s="1" t="s">
        <v>29</v>
      </c>
      <c r="B5" s="4">
        <f>2*PI()*hbar</f>
        <v>6.6260754426652935E-34</v>
      </c>
      <c r="C5" s="1" t="s">
        <v>30</v>
      </c>
      <c r="D5" s="1">
        <f>4*PI()*0.0000001</f>
        <v>1.2566370614359173E-06</v>
      </c>
      <c r="E5" s="1" t="s">
        <v>31</v>
      </c>
      <c r="F5" s="4">
        <f>5.203*194500000000</f>
        <v>1011983500000</v>
      </c>
      <c r="H5" s="10"/>
    </row>
    <row r="6" spans="1:8" ht="13.5">
      <c r="A6" s="1" t="s">
        <v>32</v>
      </c>
      <c r="B6" s="4">
        <v>1.05457266E-34</v>
      </c>
      <c r="C6" s="1" t="s">
        <v>33</v>
      </c>
      <c r="D6" s="1">
        <f>1/(mu0*clight^2)</f>
        <v>8.854187817620389E-12</v>
      </c>
      <c r="E6" s="1" t="s">
        <v>34</v>
      </c>
      <c r="F6" s="4">
        <f>6371220</f>
        <v>6371220</v>
      </c>
      <c r="H6" s="2"/>
    </row>
    <row r="7" spans="1:6" ht="13.5">
      <c r="A7" s="1" t="s">
        <v>35</v>
      </c>
      <c r="B7" s="4">
        <v>1.380658E-23</v>
      </c>
      <c r="C7" s="1" t="s">
        <v>36</v>
      </c>
      <c r="D7" s="4">
        <v>9.1093897E-31</v>
      </c>
      <c r="E7" s="1" t="s">
        <v>146</v>
      </c>
      <c r="F7" s="4">
        <v>146500000000</v>
      </c>
    </row>
    <row r="8" spans="1:7" ht="13.5">
      <c r="A8" s="1" t="s">
        <v>147</v>
      </c>
      <c r="B8" s="4">
        <v>1.60217733E-19</v>
      </c>
      <c r="C8" s="1" t="s">
        <v>148</v>
      </c>
      <c r="D8" s="4">
        <v>1.60217733E-19</v>
      </c>
      <c r="G8"/>
    </row>
    <row r="9" spans="1:4" ht="13.5">
      <c r="A9" s="1" t="s">
        <v>149</v>
      </c>
      <c r="B9" s="4">
        <v>299792458</v>
      </c>
      <c r="C9" s="1" t="s">
        <v>150</v>
      </c>
      <c r="D9" s="1">
        <v>34.338</v>
      </c>
    </row>
    <row r="10" spans="1:2" ht="13.5">
      <c r="A10" s="1" t="s">
        <v>74</v>
      </c>
      <c r="B10" s="1">
        <v>293</v>
      </c>
    </row>
    <row r="11" spans="1:4" ht="13.5">
      <c r="A11" s="1" t="s">
        <v>4</v>
      </c>
      <c r="B11" s="4">
        <v>203780000</v>
      </c>
      <c r="D11" s="4"/>
    </row>
    <row r="12" spans="1:4" ht="13.5">
      <c r="A12" s="1" t="s">
        <v>75</v>
      </c>
      <c r="B12" s="4">
        <v>5.0097E-27</v>
      </c>
      <c r="C12" s="1" t="s">
        <v>76</v>
      </c>
      <c r="D12" s="4">
        <v>9.1093897E-31</v>
      </c>
    </row>
    <row r="13" spans="1:2" ht="13.5">
      <c r="A13" s="1" t="s">
        <v>77</v>
      </c>
      <c r="B13" s="4">
        <f>PI()*hbar/m_3</f>
        <v>6.613245745918212E-08</v>
      </c>
    </row>
    <row r="14" spans="1:5" ht="13.5">
      <c r="A14" s="1" t="s">
        <v>78</v>
      </c>
      <c r="B14" s="1">
        <v>9.80665</v>
      </c>
      <c r="E14" s="4"/>
    </row>
    <row r="15" spans="1:10" ht="13.5">
      <c r="A15" s="1" t="s">
        <v>79</v>
      </c>
      <c r="B15" s="4">
        <v>8.31451</v>
      </c>
      <c r="C15" s="1">
        <f>N0*gaptsc*k_B*T_c*p_F*0.008*PI()*0.000013*1000</f>
        <v>0.017044878460283262</v>
      </c>
      <c r="J15"/>
    </row>
    <row r="16" spans="1:2" ht="13.5">
      <c r="A16" s="1" t="s">
        <v>80</v>
      </c>
      <c r="B16" s="4">
        <v>6.0221367E+23</v>
      </c>
    </row>
    <row r="17" ht="13.5">
      <c r="A17" s="1" t="s">
        <v>81</v>
      </c>
    </row>
    <row r="18" spans="1:10" ht="13.5">
      <c r="A18" s="6" t="s">
        <v>82</v>
      </c>
      <c r="B18" s="7">
        <v>23.4</v>
      </c>
      <c r="C18" s="1" t="s">
        <v>63</v>
      </c>
      <c r="D18" s="23">
        <v>0.0255</v>
      </c>
      <c r="F18" s="2"/>
      <c r="G18" t="s">
        <v>168</v>
      </c>
      <c r="H18">
        <f>SQRT(kappa/(2*PI()*D19))</f>
        <v>0.00010259292131255119</v>
      </c>
      <c r="I18" s="45" t="s">
        <v>161</v>
      </c>
      <c r="J18" s="1">
        <f>0.00585/2</f>
        <v>0.002925</v>
      </c>
    </row>
    <row r="19" spans="1:10" ht="13.5">
      <c r="A19" s="1" t="s">
        <v>87</v>
      </c>
      <c r="B19" s="23">
        <f>0.5*T_c</f>
        <v>0.0011630435517859402</v>
      </c>
      <c r="C19" s="8" t="s">
        <v>167</v>
      </c>
      <c r="D19" s="7">
        <v>1</v>
      </c>
      <c r="F19" s="2"/>
      <c r="G19" t="s">
        <v>172</v>
      </c>
      <c r="H19">
        <f>SQRT(2*PI()/SQRT(3))*vcr</f>
        <v>0.00019540110571905747</v>
      </c>
      <c r="I19" s="45" t="s">
        <v>171</v>
      </c>
      <c r="J19" s="2">
        <f>2*D19*PI()*J18^2/kappa</f>
        <v>812.8622367756053</v>
      </c>
    </row>
    <row r="20" spans="1:10" ht="13.5">
      <c r="A20" s="1" t="s">
        <v>88</v>
      </c>
      <c r="C20" s="1" t="s">
        <v>89</v>
      </c>
      <c r="H20" s="2"/>
      <c r="J20" s="4"/>
    </row>
    <row r="21" spans="1:10" ht="13.5">
      <c r="A21" s="14" t="s">
        <v>90</v>
      </c>
      <c r="B21" s="15">
        <f>0.000001*(36.837231+p*(-1.1803474+p*(0.083421417+p*(-0.0038859562+p*(0.00009475978-p*0.00000091253577)))))</f>
        <v>2.7113812335405454E-05</v>
      </c>
      <c r="C21" s="1" t="s">
        <v>91</v>
      </c>
      <c r="D21" s="1">
        <f>N_A*m_3/vol</f>
        <v>111.26837440928557</v>
      </c>
      <c r="E21" s="1" t="s">
        <v>92</v>
      </c>
      <c r="F21" s="25">
        <f>gmr*field/(2*PI())</f>
        <v>827031.154733294</v>
      </c>
      <c r="G21"/>
      <c r="H21" s="12">
        <f>2*PI()*F21</f>
        <v>5196390</v>
      </c>
      <c r="I21" s="14"/>
      <c r="J21" s="17"/>
    </row>
    <row r="22" spans="1:10" ht="13.5">
      <c r="A22" s="14" t="s">
        <v>93</v>
      </c>
      <c r="B22" s="16">
        <f>2.7840464+p*(0.069575243+p*(-0.0014738303+p*(0.000046153498+p*-0.00000053785385)))</f>
        <v>4.03519651421191</v>
      </c>
      <c r="C22" s="1" t="s">
        <v>94</v>
      </c>
      <c r="D22" s="1">
        <f>hbar*(3*PI()^2*N_A/vol)^(1/3)</f>
        <v>9.170721734625106E-25</v>
      </c>
      <c r="E22"/>
      <c r="F22"/>
      <c r="H22" s="12">
        <f>N0/3*(hbar*gmr/(1+f0a))^2*xi_0</f>
        <v>5.068844166521422E-08</v>
      </c>
      <c r="I22" s="14"/>
      <c r="J22" s="16"/>
    </row>
    <row r="23" spans="1:10" ht="13.5">
      <c r="A23" s="14" t="s">
        <v>117</v>
      </c>
      <c r="B23" s="17">
        <f>0.3591+p*(-0.02468+p*(0.002953+p*(-0.0002514+p*(0.00001191+p*(-0.0000002813+p*0.000000002584)))))</f>
        <v>0.19891065299203806</v>
      </c>
      <c r="C23" s="1" t="s">
        <v>118</v>
      </c>
      <c r="D23" s="3">
        <f>p_F/(m_3*m_eff)</f>
        <v>36.82287158692854</v>
      </c>
      <c r="E23"/>
      <c r="F23"/>
      <c r="H23" s="11">
        <f>H22*0.026</f>
        <v>1.3178994832955696E-09</v>
      </c>
      <c r="I23" s="14"/>
      <c r="J23" s="14"/>
    </row>
    <row r="24" spans="1:9" ht="13.5">
      <c r="A24" s="14" t="s">
        <v>119</v>
      </c>
      <c r="B24" s="16">
        <f>(183.1+p*(17+p*(-0.894+p*(0.03824+p*(-0.0008943+p*0.000008484)))))</f>
        <v>372.7383690871321</v>
      </c>
      <c r="C24" s="1" t="s">
        <v>120</v>
      </c>
      <c r="D24" s="4">
        <f>(3*PI()^2*N_A/vol)^(1/3)</f>
        <v>8696149713.026987</v>
      </c>
      <c r="E24" s="1" t="s">
        <v>121</v>
      </c>
      <c r="F24" s="1">
        <f>3*N_A*sheat/(2*PI()^2*k_B*vol)</f>
        <v>9.865750166341816E+50</v>
      </c>
      <c r="H24" s="4">
        <v>1.35E-09</v>
      </c>
      <c r="I24" s="4">
        <f>Delta_B/H24</f>
        <v>0.9762218394781996</v>
      </c>
    </row>
    <row r="25" spans="1:8" ht="13.5">
      <c r="A25" s="14" t="s">
        <v>122</v>
      </c>
      <c r="B25" s="17">
        <f>hbar^2/(m_3*k_B)*sheat/(PI()*vol/(3*N_A))^(2/3)</f>
        <v>4.971347745626704</v>
      </c>
      <c r="C25" s="1" t="s">
        <v>123</v>
      </c>
      <c r="D25" s="5">
        <f>10/(7*zeta3*(beta2+beta4+beta5))</f>
        <v>1.8044215072195187</v>
      </c>
      <c r="E25" s="1" t="s">
        <v>124</v>
      </c>
      <c r="F25" s="1">
        <f>7*zeta3*N0/48*(hbar*gmr/((1+f0a)*PI()*k_B*T_c))^2</f>
        <v>1.360773669511437E+50</v>
      </c>
      <c r="H25" s="1">
        <f>f0a/(1+f0a)</f>
        <v>-3.164480872167142</v>
      </c>
    </row>
    <row r="26" spans="1:8" ht="13.5">
      <c r="A26" s="14" t="s">
        <v>125</v>
      </c>
      <c r="B26" s="17">
        <f>3*m_eff*(m_3*c_1/p_F)^2-1</f>
        <v>60.832955584831474</v>
      </c>
      <c r="C26" s="1" t="s">
        <v>97</v>
      </c>
      <c r="D26" s="5">
        <f>10/(7*zeta3*(beta1+beta2+(beta3+beta4+beta5)/3))</f>
        <v>1.8687705976503726</v>
      </c>
      <c r="E26" s="1" t="s">
        <v>98</v>
      </c>
      <c r="F26" s="1">
        <f>7*zeta3*N0/240*(hbar*v_F/(PI()*k_B*T_c))^2</f>
        <v>5.123967194671109E+34</v>
      </c>
      <c r="G26"/>
      <c r="H26"/>
    </row>
    <row r="27" spans="1:8" ht="13.5">
      <c r="A27" s="14" t="s">
        <v>99</v>
      </c>
      <c r="B27" s="17">
        <f>3*(m_eff-1)</f>
        <v>11.914043236880111</v>
      </c>
      <c r="C27" s="1" t="s">
        <v>100</v>
      </c>
      <c r="D27" s="1">
        <f>SQRT(0.1)*hbar*v_F/(k_B*T_c*gapwc)</f>
        <v>2.2654483052385286E-08</v>
      </c>
      <c r="E27" s="1" t="s">
        <v>101</v>
      </c>
      <c r="F27" s="1">
        <f>SQRT(K/g_d)</f>
        <v>1.1000432322526902E-05</v>
      </c>
      <c r="G27"/>
      <c r="H27"/>
    </row>
    <row r="28" spans="1:6" ht="13.5">
      <c r="A28" s="14" t="s">
        <v>102</v>
      </c>
      <c r="B28" s="17">
        <f>-0.909+0.0055*1000000*vol</f>
        <v>-0.75987403215527</v>
      </c>
      <c r="C28" s="1" t="s">
        <v>104</v>
      </c>
      <c r="D28" s="1">
        <f>SQRT(7*zeta3/20)*xi_0/SQRT(1-temp/T_c)</f>
        <v>1.7652805605579214E-08</v>
      </c>
      <c r="E28" s="1" t="s">
        <v>107</v>
      </c>
      <c r="F28" s="1">
        <f>SQRT(g_d/g_Z)</f>
        <v>0.00176400766614462</v>
      </c>
    </row>
    <row r="29" spans="1:8" ht="13.5">
      <c r="A29" s="14" t="s">
        <v>108</v>
      </c>
      <c r="B29" s="17">
        <f>-0.7007+p*(-0.006232+p*(0.0002057+p*-0.000001823))</f>
        <v>-0.757253631992</v>
      </c>
      <c r="C29" s="1" t="s">
        <v>109</v>
      </c>
      <c r="D29" s="1">
        <f>SQRT(7*zeta3/20)*xi_0</f>
        <v>1.2482418550672962E-08</v>
      </c>
      <c r="E29" s="1" t="s">
        <v>110</v>
      </c>
      <c r="F29" s="1">
        <f>hbar/(2*m_3*xi_d^2)</f>
        <v>86.97917537136541</v>
      </c>
      <c r="G29" s="1" t="s">
        <v>111</v>
      </c>
      <c r="H29" s="1">
        <f>hbar/(2*m_3*xi_d)</f>
        <v>0.0009568085321419041</v>
      </c>
    </row>
    <row r="30" spans="1:8" ht="13.5">
      <c r="A30" s="14" t="s">
        <v>112</v>
      </c>
      <c r="B30" s="17">
        <f>-0.5678+p*(-0.04753+p*(0.001791+p*-0.00002273))</f>
        <v>-0.99055934792</v>
      </c>
      <c r="C30" s="1" t="s">
        <v>113</v>
      </c>
      <c r="D30" s="1">
        <f>beta3*beta3abs</f>
        <v>6.323012091206389E+99</v>
      </c>
      <c r="E30"/>
      <c r="F30"/>
      <c r="G30" s="1" t="s">
        <v>114</v>
      </c>
      <c r="H30" s="1">
        <f>2*PI()/k_F</f>
        <v>7.225249696158361E-10</v>
      </c>
    </row>
    <row r="31" spans="1:6" ht="13.5">
      <c r="A31" s="14" t="s">
        <v>115</v>
      </c>
      <c r="B31" s="19">
        <v>0</v>
      </c>
      <c r="C31" s="1" t="s">
        <v>116</v>
      </c>
      <c r="D31" s="9">
        <f>N0*(1-temp/T_c)/3</f>
        <v>1.6442916943903025E+50</v>
      </c>
      <c r="E31"/>
      <c r="F31"/>
    </row>
    <row r="32" spans="1:8" ht="13.5">
      <c r="A32" s="14" t="s">
        <v>126</v>
      </c>
      <c r="B32" s="19">
        <v>0</v>
      </c>
      <c r="C32" s="1" t="s">
        <v>12</v>
      </c>
      <c r="D32" s="1">
        <f>7*zeta3*N0/(120*(PI()*k_B*T_c)^2)</f>
        <v>6.79591617647923E+99</v>
      </c>
      <c r="H32" s="1">
        <f>xi_0/v_F</f>
        <v>5.226182272585688E-10</v>
      </c>
    </row>
    <row r="33" spans="1:9" ht="13.5">
      <c r="A33" s="14"/>
      <c r="B33" s="17"/>
      <c r="C33" s="8" t="s">
        <v>13</v>
      </c>
      <c r="D33" s="8">
        <f>etaTs*vol/(0.0006032*v_F^2*m_eff)</f>
        <v>7.71614781415606E-13</v>
      </c>
      <c r="E33" s="14" t="s">
        <v>14</v>
      </c>
      <c r="F33" s="14">
        <f>hbar*v_F/(2*PI()*k_B*T_c)</f>
        <v>1.9244303871330518E-08</v>
      </c>
      <c r="G33" s="1" t="s">
        <v>17</v>
      </c>
      <c r="H33" s="1">
        <f>T_c/T_F</f>
        <v>0.0019020455512990017</v>
      </c>
      <c r="I33" s="1">
        <f>0.54*xi_0</f>
        <v>1.039192409051848E-08</v>
      </c>
    </row>
    <row r="34" spans="1:8" ht="13.5">
      <c r="A34" s="43" t="s">
        <v>159</v>
      </c>
      <c r="B34" s="18">
        <f>0.0000001*(1.8312+p*(-0.034682+p*(0.000351+p*(-0.0000042698))))</f>
        <v>1.1571262225008001E-07</v>
      </c>
      <c r="C34" s="8" t="s">
        <v>15</v>
      </c>
      <c r="D34" s="8">
        <f>kappaT*vol/(2.7714*sheat*v_F^2)</f>
        <v>2.5538072632509965E-13</v>
      </c>
      <c r="E34" s="1" t="s">
        <v>16</v>
      </c>
      <c r="F34" s="1">
        <f>0.75*N_A/(N0*vol*k_B)</f>
        <v>1.2229397460977103</v>
      </c>
      <c r="G34" t="s">
        <v>96</v>
      </c>
      <c r="H34" s="1">
        <f>2*PI()*F21*H35</f>
        <v>2.964219236622237</v>
      </c>
    </row>
    <row r="35" spans="1:10" ht="13.5">
      <c r="A35" s="43" t="s">
        <v>160</v>
      </c>
      <c r="B35" s="18">
        <f>0.00001*(34.789+p*(-1.9089+p*(0.079061+p*(-0.0019523+p*(0.00001963)))))</f>
        <v>0.00014282253629968006</v>
      </c>
      <c r="C35" s="1" t="s">
        <v>18</v>
      </c>
      <c r="D35" s="1">
        <f>mu0*N0*(hbar*gmr)^2/(2*(1+f0a))</f>
        <v>1.19219414675251E-06</v>
      </c>
      <c r="E35" s="1" t="s">
        <v>95</v>
      </c>
      <c r="F35" s="1">
        <f>(hbar*k_F)^2/(2*k_B*m_3)</f>
        <v>6.079658749800153</v>
      </c>
      <c r="G35" s="1" t="s">
        <v>47</v>
      </c>
      <c r="H35" s="1">
        <f>tau_eta_T_2/temp^2</f>
        <v>5.704381766230473E-07</v>
      </c>
      <c r="I35" s="45" t="s">
        <v>162</v>
      </c>
      <c r="J35" s="1">
        <f>tau_kappa_T_2/temp^2</f>
        <v>1.8879746653154633E-07</v>
      </c>
    </row>
    <row r="36" spans="1:8" ht="13.5">
      <c r="A36"/>
      <c r="B36"/>
      <c r="C36"/>
      <c r="D36"/>
      <c r="E36" s="14" t="s">
        <v>19</v>
      </c>
      <c r="F36" s="14">
        <f>v_F*D34/temp^2</f>
        <v>6.95206486602857E-06</v>
      </c>
      <c r="G36" s="1" t="s">
        <v>46</v>
      </c>
      <c r="H36" s="1">
        <f>hbar*v_F*p_F/(2*PI()*k_B*temp)^2</f>
        <v>3.4984345842324935E-07</v>
      </c>
    </row>
    <row r="37" spans="1:7" ht="13.5">
      <c r="A37" s="14" t="s">
        <v>127</v>
      </c>
      <c r="B37" s="24">
        <f>0.001*(0.92938375+p*(0.13867188+p*(-0.0069302185+p*(0.00025685169+p*(-0.0000057248644+p*0.000000053010918)))))</f>
        <v>0.0023260871035718804</v>
      </c>
      <c r="C37" t="s">
        <v>128</v>
      </c>
      <c r="D37"/>
      <c r="G37" t="s">
        <v>129</v>
      </c>
    </row>
    <row r="38" spans="1:10" ht="13.5">
      <c r="A38" s="1" t="s">
        <v>130</v>
      </c>
      <c r="B38" s="1">
        <f>temp/T_c</f>
        <v>0.5</v>
      </c>
      <c r="C38" s="1" t="s">
        <v>131</v>
      </c>
      <c r="D38" s="1">
        <f>bcsgap(tempr)</f>
        <v>1.6878269522323524</v>
      </c>
      <c r="E38" s="1" t="s">
        <v>39</v>
      </c>
      <c r="F38" s="25">
        <f>gmr*gaptsc*k_B*T_c/(2*PI())*SQRT(15*mu0*g_d/(susn*susr))</f>
        <v>250385.75361536266</v>
      </c>
      <c r="G38" s="1" t="s">
        <v>40</v>
      </c>
      <c r="H38" s="5">
        <f>bcsgapa(tempr)</f>
        <v>1.917796001432926</v>
      </c>
      <c r="I38" s="1" t="s">
        <v>41</v>
      </c>
      <c r="J38" s="4">
        <f>gapwc*k_B*T_c/h</f>
        <v>81805711.92507021</v>
      </c>
    </row>
    <row r="39" spans="1:8" ht="13.5">
      <c r="A39"/>
      <c r="B39"/>
      <c r="C39" s="1" t="s">
        <v>42</v>
      </c>
      <c r="D39" s="1">
        <f>gapwc*wcp(tempr,dcpcn)</f>
        <v>1.7954155416520785</v>
      </c>
      <c r="E39" t="s">
        <v>43</v>
      </c>
      <c r="F39" s="26">
        <f>SQRT(Larmor^2+4/5*nu_B^2)</f>
        <v>856816.754849199</v>
      </c>
      <c r="G39" s="1" t="s">
        <v>44</v>
      </c>
      <c r="H39" s="5">
        <f>crossa(tempr,gapwca)</f>
        <v>0.20496279568317277</v>
      </c>
    </row>
    <row r="40" spans="1:8" ht="13.5">
      <c r="A40" s="14" t="s">
        <v>140</v>
      </c>
      <c r="B40" s="17">
        <f>1.2675+p*(0.029768-p*0.00014455)</f>
        <v>1.884921402</v>
      </c>
      <c r="C40" t="s">
        <v>141</v>
      </c>
      <c r="D40" s="1">
        <f>SQRT(alpha/(2*beta3abs*(3*(beta1+beta2)+beta3+beta4+beta5)))/(k_B*T_c)</f>
        <v>2.479517864101575</v>
      </c>
      <c r="E40"/>
      <c r="F40"/>
      <c r="G40" s="1" t="s">
        <v>142</v>
      </c>
      <c r="H40" s="5">
        <f>crossb(tempr,gapwca)</f>
        <v>0.28284749716273966</v>
      </c>
    </row>
    <row r="41" spans="1:8" ht="13.5">
      <c r="A41" s="14" t="s">
        <v>143</v>
      </c>
      <c r="B41" s="17">
        <f>0.0000942/vol-1.58</f>
        <v>1.894244006512976</v>
      </c>
      <c r="C41" s="1" t="s">
        <v>144</v>
      </c>
      <c r="D41" s="1">
        <f>g3d(tempr,gaptsc)</f>
        <v>0.267257107895284</v>
      </c>
      <c r="E41"/>
      <c r="F41">
        <f>hbar/(gapwc*k_B*temp)</f>
        <v>3.891047198212101E-09</v>
      </c>
      <c r="G41" s="1" t="s">
        <v>145</v>
      </c>
      <c r="H41" s="5">
        <f>crossg(tempr,gapwca)</f>
        <v>1.2308990501916242</v>
      </c>
    </row>
    <row r="42" spans="1:8" ht="13.5">
      <c r="A42" s="14" t="s">
        <v>132</v>
      </c>
      <c r="B42" s="17">
        <f>0.0000419/vol+0.322</f>
        <v>1.8673378330455808</v>
      </c>
      <c r="C42" s="1" t="s">
        <v>133</v>
      </c>
      <c r="D42" s="1">
        <f>g5d(tempr,gaptsc)</f>
        <v>0.13456870942081778</v>
      </c>
      <c r="E42" s="1" t="s">
        <v>139</v>
      </c>
      <c r="F42" s="35">
        <f>2*gaptsc*k_B*T_c/h</f>
        <v>174040646.04125893</v>
      </c>
      <c r="G42" s="30" t="s">
        <v>134</v>
      </c>
      <c r="H42" s="36">
        <f>2*crossbe*(3+f1s)/(3+f1s*(1-2*crossbe))</f>
        <v>1.0321091799706037</v>
      </c>
    </row>
    <row r="43" spans="1:9" ht="13.5">
      <c r="A43" s="14" t="s">
        <v>135</v>
      </c>
      <c r="B43">
        <f>1E+45*(0.1786+p*(0.012802+p*(-0.00021649+p*0.0000049801)))</f>
        <v>4.234350788103999E+44</v>
      </c>
      <c r="C43" s="1" t="s">
        <v>136</v>
      </c>
      <c r="D43" s="1">
        <f>g7d(tempr,gaptsc)</f>
        <v>0.0746561133206793</v>
      </c>
      <c r="F43" s="31"/>
      <c r="G43" s="30" t="s">
        <v>58</v>
      </c>
      <c r="H43" s="36">
        <f>2*crossbe*(3+f1s)/(3+f1s*(1-2*crossbe))/rhoAapu</f>
        <v>1</v>
      </c>
      <c r="I43" s="5"/>
    </row>
    <row r="44" spans="1:9" ht="13.5">
      <c r="A44"/>
      <c r="B44"/>
      <c r="C44" s="1" t="s">
        <v>59</v>
      </c>
      <c r="D44" s="1">
        <f>1-gaptsc^2*g3d(tempr,gaptsc)</f>
        <v>0.1384921780931937</v>
      </c>
      <c r="E44"/>
      <c r="F44" s="30"/>
      <c r="G44" s="32" t="s">
        <v>60</v>
      </c>
      <c r="H44" s="36">
        <f>4*crossal*(3+f1s)/(3+f1s*(1-4*crossal))/rhoAapu</f>
        <v>2.302022783682119</v>
      </c>
      <c r="I44" s="5"/>
    </row>
    <row r="45" spans="1:9" ht="13.5">
      <c r="A45"/>
      <c r="B45"/>
      <c r="C45" t="s">
        <v>61</v>
      </c>
      <c r="D45">
        <f>rho*(1-yos)/(1+f1s*yos/3)</f>
        <v>61.84421795087309</v>
      </c>
      <c r="E45"/>
      <c r="F45" s="30"/>
      <c r="G45" s="32" t="s">
        <v>62</v>
      </c>
      <c r="H45" s="36">
        <f>crossbe*(3+f1s)/(3+f1s*(1-4*crossal))/rhoAapu</f>
        <v>0.7941946007881598</v>
      </c>
      <c r="I45" s="5"/>
    </row>
    <row r="46" spans="1:10" ht="13.5">
      <c r="A46" s="14" t="s">
        <v>2</v>
      </c>
      <c r="B46" s="14">
        <f>0.5*(-1+p*(-0.0041339+p*(0.000156+p*(-0.0000043898+p*0.00000004453))))</f>
        <v>-0.527104457192696</v>
      </c>
      <c r="C46" s="1" t="s">
        <v>157</v>
      </c>
      <c r="D46" s="1">
        <f>suspn(tempr,dcpcn,f0a,f2a)</f>
        <v>0.37345584032452156</v>
      </c>
      <c r="E46" s="1" t="s">
        <v>158</v>
      </c>
      <c r="F46" s="31">
        <f>5*g_d*g_Z/(4*beta3abs*(beta3+beta4+beta5))</f>
        <v>1.6586165494826712E-05</v>
      </c>
      <c r="G46" s="32" t="s">
        <v>67</v>
      </c>
      <c r="H46" s="36">
        <f>crossbe*(3+f1s)*(1/(3+f1s*(1-4*crossal))+1/(3+f1s*(1-2*crossbe)))/rhoAapu</f>
        <v>1.2941946007881597</v>
      </c>
      <c r="I46" s="51" t="s">
        <v>170</v>
      </c>
      <c r="J46">
        <v>5</v>
      </c>
    </row>
    <row r="47" spans="1:10" ht="13.5">
      <c r="A47" s="14" t="s">
        <v>68</v>
      </c>
      <c r="B47" s="14">
        <f>0.5*(2+p*(-0.013308+p*(0.00081878+p*(-0.000025708+p*0.0000003088))))</f>
        <v>0.95005743001984</v>
      </c>
      <c r="C47" t="s">
        <v>69</v>
      </c>
      <c r="D47">
        <f>12.5*g_d*(hbar*gmr/2)^2/(1+f0a)^2*apn(tempr,dcpcn,f0a,f2a)</f>
        <v>2.0301446046993827E-06</v>
      </c>
      <c r="E47" t="s">
        <v>70</v>
      </c>
      <c r="F47" s="31">
        <f>2*(m_3/hbar)^2*g_Z*(GLanisot-1)*K/(beta3abs*(beta3+beta4+beta5))</f>
        <v>14.493921426314897</v>
      </c>
      <c r="G47" s="32" t="s">
        <v>71</v>
      </c>
      <c r="H47" s="37">
        <f>crossal/rhoAapu</f>
        <v>0.19858635080545498</v>
      </c>
      <c r="I47" s="51" t="s">
        <v>45</v>
      </c>
      <c r="J47" s="45">
        <v>1</v>
      </c>
    </row>
    <row r="48" spans="1:10" ht="13.5">
      <c r="A48" s="14" t="s">
        <v>72</v>
      </c>
      <c r="B48" s="14">
        <f>0.5*(2+p*(-0.018716+p*(0.0010681+p*(-0.000030992+p*0.00000037032))))</f>
        <v>0.930413490544576</v>
      </c>
      <c r="C48" t="s">
        <v>73</v>
      </c>
      <c r="D48">
        <f>rho*m_eff*(hbar*gmr/(2*k_B*T_c))^2*lhvred(tempr,dcpcn,f0a,f2a,f1s)</f>
        <v>11.672898006462567</v>
      </c>
      <c r="E48" s="1" t="s">
        <v>5</v>
      </c>
      <c r="F48" s="30">
        <f>K*(gapGL*k_B*T_c)^2</f>
        <v>3.2491143634390046E-16</v>
      </c>
      <c r="G48" s="32" t="s">
        <v>6</v>
      </c>
      <c r="H48" s="36">
        <f>((crossal+2*crossbe)/3+f1s*crossbe^2/(3+f1s*(1-2*crossbe)))/rhoAapu</f>
        <v>0.3618701234929455</v>
      </c>
      <c r="I48" s="5"/>
      <c r="J48">
        <f>PI()*(J47+J46/2-1/4)</f>
        <v>10.210176124166829</v>
      </c>
    </row>
    <row r="49" spans="1:10" ht="13.5">
      <c r="A49" s="14" t="s">
        <v>7</v>
      </c>
      <c r="B49" s="14">
        <f>0.5*(2+p*(-0.027013+p*(0.0011806+p*(-0.000029314+p*0.00000030536))))</f>
        <v>0.865150649947648</v>
      </c>
      <c r="C49" s="1" t="s">
        <v>8</v>
      </c>
      <c r="D49">
        <f>(hbar/m_3)^2*rho/(40*m_eff)*lg2func(tempr,dcpcn,f1a,f3a)</f>
        <v>1.7023489097848775E-16</v>
      </c>
      <c r="E49" s="1" t="s">
        <v>64</v>
      </c>
      <c r="F49" s="33">
        <f>SQRT(65*F48/(8*F46*field^2))</f>
        <v>0.0004947445356550448</v>
      </c>
      <c r="G49" s="32" t="s">
        <v>65</v>
      </c>
      <c r="H49" s="36">
        <f>((3*crossbe+2*crossga)/3+f1s*crossbe^2/(3+f1s*(1-4*crossal)))/rhoAapu</f>
        <v>1.2485681776215198</v>
      </c>
      <c r="I49" s="5"/>
      <c r="J49" s="1">
        <f>SQRT(2/5)</f>
        <v>0.6324555320336759</v>
      </c>
    </row>
    <row r="50" spans="1:10" ht="13.5">
      <c r="A50" s="14" t="s">
        <v>66</v>
      </c>
      <c r="B50" s="14">
        <f>0.5*(-2+p*(-0.024055+p*(0.00090837+p*(-0.000023015+p*0.00000015751))))</f>
        <v>-1.156581976224232</v>
      </c>
      <c r="C50" s="1" t="s">
        <v>0</v>
      </c>
      <c r="D50" s="22">
        <f>SQRT(65*_lg2/(8*a*field^2))</f>
        <v>0.0010236047822317698</v>
      </c>
      <c r="E50" t="s">
        <v>1</v>
      </c>
      <c r="F50" s="34">
        <f>SQRT(0.4*F46/F47)</f>
        <v>0.0006765658013746869</v>
      </c>
      <c r="G50" s="32" t="s">
        <v>3</v>
      </c>
      <c r="H50" s="36">
        <f>2*crossbe*(3+f1a)/(3+f1a*(1-2*crossbe))/rhoAapu</f>
        <v>0.42858145950256255</v>
      </c>
      <c r="I50" s="5"/>
      <c r="J50" s="1">
        <f>4*PI()</f>
        <v>12.566370614359172</v>
      </c>
    </row>
    <row r="51" spans="1:10" ht="13.5">
      <c r="A51" s="43" t="s">
        <v>163</v>
      </c>
      <c r="B51" s="14">
        <v>3</v>
      </c>
      <c r="C51" t="s">
        <v>151</v>
      </c>
      <c r="D51" s="20">
        <f>SQRT(0.4*a/lhv)</f>
        <v>0.00026375708650328646</v>
      </c>
      <c r="E51" s="1" t="s">
        <v>152</v>
      </c>
      <c r="F51" s="31">
        <f>g_Z*xi_GL1*d_0*alpha/(2*beta3abs*(3*(beta1+beta2)+beta3+beta4+beta5))</f>
        <v>3.879187876479908E-08</v>
      </c>
      <c r="G51" s="32" t="s">
        <v>153</v>
      </c>
      <c r="H51" s="36">
        <f>4*crossal*(3+f1a)/(3+f1a*(1-4*crossal))/rhoAapu</f>
        <v>0.5657134792296741</v>
      </c>
      <c r="I51" s="5"/>
      <c r="J51" s="1">
        <f>J50-PI()/4</f>
        <v>11.780972450961723</v>
      </c>
    </row>
    <row r="52" spans="1:9" ht="13.5">
      <c r="A52"/>
      <c r="B52"/>
      <c r="C52" s="1" t="s">
        <v>154</v>
      </c>
      <c r="D52" s="1">
        <f>0.5/mu0*susn*(1-susr)*xi_GL2*d_0</f>
        <v>1.714728983179239E-08</v>
      </c>
      <c r="E52" t="s">
        <v>155</v>
      </c>
      <c r="F52" s="33">
        <f>F51/F46</f>
        <v>0.002338809339440054</v>
      </c>
      <c r="G52" t="s">
        <v>156</v>
      </c>
      <c r="H52">
        <f>4*g_d*(k_B*T_c*gapwca)^2</f>
        <v>6.425039719889925E-06</v>
      </c>
      <c r="I52" s="4">
        <f>H53^2</f>
        <v>7123641817.936564</v>
      </c>
    </row>
    <row r="53" spans="1:9" ht="13.5">
      <c r="A53"/>
      <c r="B53"/>
      <c r="C53" t="s">
        <v>83</v>
      </c>
      <c r="D53" s="22">
        <f>d/a</f>
        <v>0.008446339138650425</v>
      </c>
      <c r="E53" s="1" t="s">
        <v>84</v>
      </c>
      <c r="F53" s="31">
        <f>apn(tempr,dcpcn,f0a,f2a)</f>
        <v>0.19155444883293277</v>
      </c>
      <c r="G53" s="1" t="s">
        <v>85</v>
      </c>
      <c r="H53" s="40">
        <f>gmr/(2*PI())*SQRT(mu0*lambdaA_d/susn)</f>
        <v>84401.66952102644</v>
      </c>
      <c r="I53" s="4">
        <f>2*PI()*H53</f>
        <v>530311.3298359405</v>
      </c>
    </row>
    <row r="54" spans="1:10" ht="13.5">
      <c r="A54"/>
      <c r="B54"/>
      <c r="C54" t="s">
        <v>86</v>
      </c>
      <c r="D54" s="38">
        <f>b_2par*g_d*(gapwc*k_B*T_c)^2*xi_GL1</f>
        <v>3.281051225258202E-13</v>
      </c>
      <c r="E54" t="s">
        <v>9</v>
      </c>
      <c r="F54" s="30">
        <f>12.5*g_d*(hbar*gmr/2)^2/(1+f0a)^2</f>
        <v>1.0598263924791458E-05</v>
      </c>
      <c r="G54" t="s">
        <v>10</v>
      </c>
      <c r="H54" s="26">
        <f>SQRT(Larmor^2+nu_A^2)</f>
        <v>831326.7544819078</v>
      </c>
      <c r="I54" s="4">
        <f>H53^2</f>
        <v>7123641817.936564</v>
      </c>
      <c r="J54"/>
    </row>
    <row r="55" spans="1:10" ht="13.5">
      <c r="A55" s="8" t="s">
        <v>11</v>
      </c>
      <c r="B55">
        <f>25.2391+tempr*(-22.8355+tempr*4.4721)</f>
        <v>14.939375</v>
      </c>
      <c r="C55" s="8" t="s">
        <v>105</v>
      </c>
      <c r="D55" s="20">
        <f>_lg2/b_2</f>
        <v>0.0005188425272607292</v>
      </c>
      <c r="E55" s="1" t="s">
        <v>106</v>
      </c>
      <c r="F55" s="31">
        <f>2+(7*f1a-3*f3a)*(1-yos)/((7+f3a)*(3+f1a*yos))</f>
        <v>1.701910691639145</v>
      </c>
      <c r="G55"/>
      <c r="H55"/>
      <c r="I55"/>
      <c r="J55"/>
    </row>
    <row r="56" spans="1:10" ht="13.5">
      <c r="A56" s="14" t="s">
        <v>20</v>
      </c>
      <c r="B56" s="21">
        <f>2.2086+p*(0.015594+p*-0.000048893)</f>
        <v>2.54672774892</v>
      </c>
      <c r="E56" t="s">
        <v>21</v>
      </c>
      <c r="F56" s="30">
        <f>(hbar/(2*m_3))*SQRT(g_d/((GLanisot-1)*K))</f>
        <v>0.0006765658013746869</v>
      </c>
      <c r="G56"/>
      <c r="H56"/>
      <c r="I56"/>
      <c r="J56"/>
    </row>
    <row r="57" spans="1:11" ht="13.5">
      <c r="A57" s="14" t="s">
        <v>22</v>
      </c>
      <c r="B57" s="14">
        <v>0.45</v>
      </c>
      <c r="C57" s="1" t="s">
        <v>23</v>
      </c>
      <c r="D57">
        <f>mu0/40*(hbar*gmr*N0*LN(1.1339*B57*T_F/T_c))^2</f>
        <v>4.415882990303054E+44</v>
      </c>
      <c r="E57" t="s">
        <v>166</v>
      </c>
      <c r="F57" s="48">
        <f>2*gmr*SQRT(mu0*_lg2/(susn*susr))</f>
        <v>8.933623666105882</v>
      </c>
      <c r="G57" t="s">
        <v>103</v>
      </c>
      <c r="H57">
        <f>(beta1+beta2+(beta3+beta4+beta5)/3)/(beta2+beta4+beta5)</f>
        <v>0.9655660836531992</v>
      </c>
      <c r="I57"/>
      <c r="J57">
        <f>1/SQRT(5)</f>
        <v>0.4472135954999579</v>
      </c>
      <c r="K57" s="1">
        <f>ACOS(J57)</f>
        <v>1.1071487177940904</v>
      </c>
    </row>
    <row r="58" spans="1:11" ht="13.5">
      <c r="A58"/>
      <c r="B58"/>
      <c r="C58"/>
      <c r="D58" s="38"/>
      <c r="E58" s="38" t="s">
        <v>164</v>
      </c>
      <c r="F58" s="48">
        <f>SQRT(1+cs)*F57</f>
        <v>8.933623666105882</v>
      </c>
      <c r="G58"/>
      <c r="K58" s="1">
        <f>K57*180/PI()</f>
        <v>63.43494882292201</v>
      </c>
    </row>
    <row r="59" spans="1:9" ht="13.5">
      <c r="A59" s="8" t="s">
        <v>24</v>
      </c>
      <c r="B59" s="8"/>
      <c r="C59" s="8"/>
      <c r="D59" s="8"/>
      <c r="E59" s="38" t="s">
        <v>165</v>
      </c>
      <c r="F59" s="48">
        <f>SQRT(1+cs/2)*F57</f>
        <v>8.933623666105882</v>
      </c>
      <c r="G59" s="32"/>
      <c r="H59" s="45" t="s">
        <v>169</v>
      </c>
      <c r="I59" s="1">
        <f>nu_B/Larmor</f>
        <v>0.3027525047664118</v>
      </c>
    </row>
    <row r="60" spans="1:8" ht="13.5">
      <c r="A60"/>
      <c r="B60"/>
      <c r="C60" s="8"/>
      <c r="D60" s="27"/>
      <c r="E60" s="32"/>
      <c r="F60"/>
      <c r="G60"/>
      <c r="H60" s="45"/>
    </row>
    <row r="61" spans="1:8" ht="13.5">
      <c r="A61"/>
      <c r="B61"/>
      <c r="C61" s="8"/>
      <c r="D61" s="28"/>
      <c r="E61" s="39"/>
      <c r="F61"/>
      <c r="G61" s="32"/>
      <c r="H61"/>
    </row>
    <row r="62" spans="1:12" ht="13.5">
      <c r="A62"/>
      <c r="B62" s="29"/>
      <c r="C62" s="8"/>
      <c r="D62" s="29"/>
      <c r="E62" s="39"/>
      <c r="F62"/>
      <c r="G62" s="32"/>
      <c r="I62" s="45"/>
      <c r="J62" s="45"/>
      <c r="L62"/>
    </row>
    <row r="63" spans="1:15" ht="13.5">
      <c r="A63" s="8"/>
      <c r="B63"/>
      <c r="C63" s="8"/>
      <c r="D63" s="29"/>
      <c r="E63" s="39"/>
      <c r="F63"/>
      <c r="G63" s="30"/>
      <c r="H63" s="45"/>
      <c r="I63" s="3"/>
      <c r="J63" s="3"/>
      <c r="L63"/>
      <c r="M63"/>
      <c r="N63"/>
      <c r="O63"/>
    </row>
    <row r="64" spans="1:15" ht="13.5">
      <c r="A64" s="8"/>
      <c r="B64" s="8"/>
      <c r="C64" s="8"/>
      <c r="D64"/>
      <c r="E64" s="39"/>
      <c r="F64"/>
      <c r="G64"/>
      <c r="H64" s="45"/>
      <c r="I64" s="3"/>
      <c r="J64" s="3"/>
      <c r="L64"/>
      <c r="M64"/>
      <c r="N64"/>
      <c r="O64"/>
    </row>
    <row r="65" spans="1:15" ht="13.5">
      <c r="A65" s="8"/>
      <c r="B65" s="8"/>
      <c r="C65" s="8"/>
      <c r="D65" s="20"/>
      <c r="E65" s="39"/>
      <c r="H65" s="47"/>
      <c r="I65" s="3"/>
      <c r="J65" s="3"/>
      <c r="L65"/>
      <c r="M65"/>
      <c r="N65"/>
      <c r="O65"/>
    </row>
    <row r="66" spans="1:15" ht="13.5">
      <c r="A66" s="8"/>
      <c r="B66"/>
      <c r="C66" s="8"/>
      <c r="D66" s="8"/>
      <c r="E66" s="8"/>
      <c r="H66" s="47"/>
      <c r="I66" s="3"/>
      <c r="J66" s="3"/>
      <c r="L66"/>
      <c r="M66"/>
      <c r="N66"/>
      <c r="O66"/>
    </row>
    <row r="67" spans="1:15" ht="13.5">
      <c r="A67" s="8"/>
      <c r="B67" s="8"/>
      <c r="C67" s="8"/>
      <c r="D67" s="8"/>
      <c r="E67" s="8"/>
      <c r="H67" s="47"/>
      <c r="I67" s="3"/>
      <c r="J67" s="3"/>
      <c r="L67"/>
      <c r="M67"/>
      <c r="N67"/>
      <c r="O67"/>
    </row>
    <row r="68" spans="1:15" ht="13.5">
      <c r="A68" s="8"/>
      <c r="B68" s="8"/>
      <c r="C68" s="8"/>
      <c r="D68" s="8"/>
      <c r="E68" s="8"/>
      <c r="F68" s="4"/>
      <c r="H68" s="47"/>
      <c r="I68" s="3"/>
      <c r="J68" s="3"/>
      <c r="L68"/>
      <c r="M68"/>
      <c r="N68"/>
      <c r="O68"/>
    </row>
    <row r="69" spans="1:256" ht="13.5">
      <c r="A69" s="8"/>
      <c r="B69" s="8"/>
      <c r="C69" s="8"/>
      <c r="D69" s="8"/>
      <c r="E69" s="8"/>
      <c r="F69" s="4"/>
      <c r="H69" s="47"/>
      <c r="I69" s="3"/>
      <c r="J69" s="3"/>
      <c r="K69"/>
      <c r="L69"/>
      <c r="M69"/>
      <c r="N69"/>
      <c r="O6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3.5">
      <c r="A70" s="8"/>
      <c r="B70" s="29"/>
      <c r="C70" s="8"/>
      <c r="D70" s="8"/>
      <c r="E70" s="8"/>
      <c r="F70" s="8"/>
      <c r="H70" s="49"/>
      <c r="I70" s="3"/>
      <c r="J70" s="3"/>
      <c r="L70"/>
      <c r="M70"/>
      <c r="N70"/>
      <c r="O70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13.5">
      <c r="A71" s="8"/>
      <c r="B71" s="29"/>
      <c r="C71" s="8"/>
      <c r="D71" s="8"/>
      <c r="E71" s="8"/>
      <c r="F71" s="8"/>
      <c r="H71" s="49"/>
      <c r="I71" s="3"/>
      <c r="J71" s="3"/>
      <c r="L71"/>
      <c r="M71"/>
      <c r="N71"/>
      <c r="O71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3.5">
      <c r="A72" s="38"/>
      <c r="B72" s="38"/>
      <c r="C72" s="38"/>
      <c r="D72" s="38"/>
      <c r="E72" s="38"/>
      <c r="F72" s="8"/>
      <c r="I72" s="50"/>
      <c r="J72" s="3"/>
      <c r="L72"/>
      <c r="M72"/>
      <c r="N72"/>
      <c r="O72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13.5">
      <c r="A73" s="8"/>
      <c r="B73" s="8"/>
      <c r="C73" s="8"/>
      <c r="D73" s="8"/>
      <c r="E73" s="8"/>
      <c r="F73" s="8"/>
      <c r="G73"/>
      <c r="I73" s="3"/>
      <c r="J73" s="3"/>
      <c r="K73"/>
      <c r="L73"/>
      <c r="M73"/>
      <c r="N73"/>
      <c r="O73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15" ht="13.5">
      <c r="A74"/>
      <c r="B74"/>
      <c r="G74"/>
      <c r="H74" s="49"/>
      <c r="I74"/>
      <c r="J74"/>
      <c r="K74"/>
      <c r="L74"/>
      <c r="M74"/>
      <c r="N74"/>
      <c r="O74"/>
    </row>
    <row r="75" spans="1:15" ht="13.5">
      <c r="A75"/>
      <c r="B75"/>
      <c r="C75"/>
      <c r="D75"/>
      <c r="G75"/>
      <c r="H75" s="49"/>
      <c r="K75"/>
      <c r="L75"/>
      <c r="M75"/>
      <c r="N75"/>
      <c r="O75"/>
    </row>
    <row r="76" spans="1:15" ht="13.5">
      <c r="A76"/>
      <c r="B76"/>
      <c r="C76"/>
      <c r="D76"/>
      <c r="G76"/>
      <c r="H76" s="49"/>
      <c r="I76"/>
      <c r="K76"/>
      <c r="L76"/>
      <c r="M76"/>
      <c r="N76"/>
      <c r="O76"/>
    </row>
    <row r="77" spans="1:15" ht="13.5">
      <c r="A77"/>
      <c r="B77" s="21"/>
      <c r="C77"/>
      <c r="D77"/>
      <c r="G77"/>
      <c r="H77" s="49"/>
      <c r="I77"/>
      <c r="K77"/>
      <c r="L77"/>
      <c r="M77"/>
      <c r="N77"/>
      <c r="O77"/>
    </row>
    <row r="78" spans="1:15" ht="13.5">
      <c r="A78"/>
      <c r="B78"/>
      <c r="C78"/>
      <c r="D78"/>
      <c r="G78"/>
      <c r="H78" s="49"/>
      <c r="I78"/>
      <c r="K78"/>
      <c r="L78"/>
      <c r="M78"/>
      <c r="N78"/>
      <c r="O78"/>
    </row>
    <row r="79" spans="1:15" ht="13.5">
      <c r="A79"/>
      <c r="B79"/>
      <c r="C79"/>
      <c r="D79"/>
      <c r="G79"/>
      <c r="H79"/>
      <c r="I79"/>
      <c r="J79"/>
      <c r="K79"/>
      <c r="L79"/>
      <c r="M79"/>
      <c r="N79"/>
      <c r="O79"/>
    </row>
    <row r="80" spans="1:4" ht="13.5">
      <c r="A80"/>
      <c r="B80"/>
      <c r="C80"/>
      <c r="D80"/>
    </row>
    <row r="81" spans="1:7" ht="13.5">
      <c r="A81"/>
      <c r="B81"/>
      <c r="C81"/>
      <c r="D81"/>
      <c r="G81"/>
    </row>
    <row r="82" spans="1:8" ht="13.5">
      <c r="A82"/>
      <c r="B82"/>
      <c r="C82"/>
      <c r="D82"/>
      <c r="H82" s="13"/>
    </row>
    <row r="83" spans="1:8" ht="13.5">
      <c r="A83"/>
      <c r="B83"/>
      <c r="C83"/>
      <c r="D83"/>
      <c r="H83" s="13"/>
    </row>
    <row r="84" ht="13.5">
      <c r="H84" s="13"/>
    </row>
    <row r="86" spans="2:6" ht="13.5">
      <c r="B86" s="4"/>
      <c r="C86" s="4"/>
      <c r="D86" s="4"/>
      <c r="E86" s="44"/>
      <c r="F86" s="4"/>
    </row>
    <row r="87" spans="2:8" ht="13.5">
      <c r="B87" s="4"/>
      <c r="C87" s="4"/>
      <c r="E87" s="45"/>
      <c r="F87" s="4"/>
      <c r="H87" s="3"/>
    </row>
    <row r="88" spans="6:8" ht="13.5">
      <c r="F88" s="4"/>
      <c r="G88" s="4"/>
      <c r="H88" s="11"/>
    </row>
    <row r="89" spans="3:6" ht="13.5">
      <c r="C89" s="11"/>
      <c r="D89" s="11"/>
      <c r="F89" s="46"/>
    </row>
    <row r="90" spans="1:7" ht="13.5">
      <c r="A90" s="41"/>
      <c r="B90" s="41"/>
      <c r="C90" s="11"/>
      <c r="D90" s="10"/>
      <c r="E90" s="3"/>
      <c r="F90" s="11"/>
      <c r="G90" s="11"/>
    </row>
    <row r="91" spans="1:5" ht="13.5">
      <c r="A91" s="41"/>
      <c r="B91" s="41"/>
      <c r="C91" s="11"/>
      <c r="D91" s="10"/>
      <c r="E91" s="3"/>
    </row>
    <row r="92" spans="1:7" ht="13.5">
      <c r="A92" s="41"/>
      <c r="B92" s="42"/>
      <c r="C92" s="11"/>
      <c r="D92" s="10"/>
      <c r="E92" s="3"/>
      <c r="F92" s="11"/>
      <c r="G92" s="11"/>
    </row>
    <row r="93" spans="2:5" ht="13.5">
      <c r="B93" s="13"/>
      <c r="C93" s="13"/>
      <c r="D93" s="13"/>
      <c r="E93" s="13"/>
    </row>
    <row r="94" spans="2:7" ht="13.5">
      <c r="B94" s="10"/>
      <c r="C94" s="10"/>
      <c r="D94" s="10"/>
      <c r="E94" s="10"/>
      <c r="G94" s="4"/>
    </row>
    <row r="96" spans="2:5" ht="13.5">
      <c r="B96" s="4"/>
      <c r="D96" s="4"/>
      <c r="E96" s="3"/>
    </row>
    <row r="97" ht="13.5">
      <c r="G97" s="4"/>
    </row>
    <row r="98" ht="13.5">
      <c r="G98" s="4"/>
    </row>
    <row r="99" ht="13.5">
      <c r="G99" s="4"/>
    </row>
    <row r="100" ht="13.5">
      <c r="G100" s="4"/>
    </row>
    <row r="107" spans="1:12" ht="13.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9" ht="13.5">
      <c r="A114"/>
      <c r="B114"/>
      <c r="C114"/>
      <c r="D114"/>
      <c r="E114"/>
      <c r="F114"/>
      <c r="G114"/>
      <c r="H114"/>
      <c r="I114"/>
    </row>
    <row r="115" spans="1:9" ht="13.5">
      <c r="A115"/>
      <c r="B115"/>
      <c r="C115"/>
      <c r="D115"/>
      <c r="E115"/>
      <c r="F115"/>
      <c r="G115"/>
      <c r="H115"/>
      <c r="I115"/>
    </row>
    <row r="116" spans="1:9" ht="13.5">
      <c r="A116"/>
      <c r="B116"/>
      <c r="C116"/>
      <c r="D116"/>
      <c r="E116"/>
      <c r="F116"/>
      <c r="G116"/>
      <c r="H116"/>
      <c r="I116"/>
    </row>
    <row r="117" spans="1:9" ht="13.5">
      <c r="A117"/>
      <c r="B117"/>
      <c r="C117"/>
      <c r="D117"/>
      <c r="E117"/>
      <c r="F117"/>
      <c r="G117"/>
      <c r="H117"/>
      <c r="I117"/>
    </row>
    <row r="118" spans="1:9" ht="13.5">
      <c r="A118"/>
      <c r="B118"/>
      <c r="C118"/>
      <c r="D118"/>
      <c r="E118"/>
      <c r="F118"/>
      <c r="G118"/>
      <c r="H118"/>
      <c r="I118"/>
    </row>
    <row r="119" spans="1:9" ht="13.5">
      <c r="A119"/>
      <c r="B119"/>
      <c r="C119"/>
      <c r="D119"/>
      <c r="E119"/>
      <c r="F119"/>
      <c r="G119"/>
      <c r="H119"/>
      <c r="I119"/>
    </row>
    <row r="120" spans="1:9" ht="13.5">
      <c r="A120"/>
      <c r="B120"/>
      <c r="C120"/>
      <c r="D120"/>
      <c r="E120"/>
      <c r="F120"/>
      <c r="G120"/>
      <c r="H120"/>
      <c r="I120"/>
    </row>
    <row r="121" spans="1:9" ht="13.5">
      <c r="A121"/>
      <c r="B121"/>
      <c r="C121"/>
      <c r="D121"/>
      <c r="E121"/>
      <c r="F121"/>
      <c r="G121"/>
      <c r="H121"/>
      <c r="I121"/>
    </row>
    <row r="122" spans="1:9" ht="13.5">
      <c r="A122"/>
      <c r="B122"/>
      <c r="C122"/>
      <c r="D122"/>
      <c r="E122"/>
      <c r="F122"/>
      <c r="G122"/>
      <c r="H122"/>
      <c r="I122"/>
    </row>
    <row r="123" spans="1:9" ht="13.5">
      <c r="A123"/>
      <c r="B123"/>
      <c r="C123"/>
      <c r="D123"/>
      <c r="E123"/>
      <c r="F123"/>
      <c r="G123"/>
      <c r="H123"/>
      <c r="I123"/>
    </row>
    <row r="124" spans="1:9" ht="13.5">
      <c r="A124"/>
      <c r="B124"/>
      <c r="C124"/>
      <c r="D124"/>
      <c r="E124"/>
      <c r="F124"/>
      <c r="G124"/>
      <c r="H124"/>
      <c r="I124"/>
    </row>
    <row r="125" spans="1:9" ht="13.5">
      <c r="A125"/>
      <c r="B125"/>
      <c r="C125"/>
      <c r="D125"/>
      <c r="E125"/>
      <c r="F125"/>
      <c r="G125"/>
      <c r="H125"/>
      <c r="I125"/>
    </row>
    <row r="126" spans="1:9" ht="13.5">
      <c r="A126"/>
      <c r="B126"/>
      <c r="C126"/>
      <c r="D126"/>
      <c r="E126"/>
      <c r="F126"/>
      <c r="G126"/>
      <c r="H126"/>
      <c r="I126"/>
    </row>
    <row r="127" spans="1:9" ht="13.5">
      <c r="A127"/>
      <c r="B127"/>
      <c r="C127"/>
      <c r="D127"/>
      <c r="E127"/>
      <c r="F127"/>
      <c r="G127"/>
      <c r="H127"/>
      <c r="I127"/>
    </row>
    <row r="128" spans="1:9" ht="13.5">
      <c r="A128"/>
      <c r="B128"/>
      <c r="C128"/>
      <c r="D128"/>
      <c r="E128"/>
      <c r="F128"/>
      <c r="G128"/>
      <c r="H128"/>
      <c r="I128"/>
    </row>
    <row r="129" spans="1:9" ht="13.5">
      <c r="A129"/>
      <c r="B129"/>
      <c r="C129"/>
      <c r="D129"/>
      <c r="E129"/>
      <c r="F129"/>
      <c r="G129"/>
      <c r="H129"/>
      <c r="I129"/>
    </row>
    <row r="130" spans="1:9" ht="13.5">
      <c r="A130"/>
      <c r="B130"/>
      <c r="C130"/>
      <c r="D130"/>
      <c r="E130"/>
      <c r="F130"/>
      <c r="G130"/>
      <c r="H130"/>
      <c r="I130"/>
    </row>
    <row r="131" spans="1:9" ht="13.5">
      <c r="A131"/>
      <c r="B131"/>
      <c r="C131"/>
      <c r="D131"/>
      <c r="E131"/>
      <c r="F131"/>
      <c r="G131"/>
      <c r="H131"/>
      <c r="I131"/>
    </row>
    <row r="132" spans="1:9" ht="13.5">
      <c r="A132"/>
      <c r="B132"/>
      <c r="C132"/>
      <c r="D132"/>
      <c r="E132"/>
      <c r="F132"/>
      <c r="G132"/>
      <c r="H132"/>
      <c r="I132"/>
    </row>
    <row r="133" spans="1:9" ht="13.5">
      <c r="A133"/>
      <c r="B133"/>
      <c r="C133"/>
      <c r="D133"/>
      <c r="E133"/>
      <c r="F133"/>
      <c r="G133"/>
      <c r="H133"/>
      <c r="I133"/>
    </row>
    <row r="134" spans="1:9" ht="13.5">
      <c r="A134"/>
      <c r="B134"/>
      <c r="C134"/>
      <c r="D134"/>
      <c r="E134"/>
      <c r="F134"/>
      <c r="G134"/>
      <c r="H134"/>
      <c r="I134"/>
    </row>
    <row r="135" spans="1:9" ht="13.5">
      <c r="A135"/>
      <c r="B135"/>
      <c r="C135"/>
      <c r="D135"/>
      <c r="E135"/>
      <c r="F135"/>
      <c r="G135"/>
      <c r="H135"/>
      <c r="I135"/>
    </row>
    <row r="136" spans="1:9" ht="13.5">
      <c r="A136"/>
      <c r="B136"/>
      <c r="C136"/>
      <c r="D136"/>
      <c r="E136"/>
      <c r="F136"/>
      <c r="G136"/>
      <c r="H136"/>
      <c r="I136"/>
    </row>
    <row r="137" spans="1:9" ht="13.5">
      <c r="A137"/>
      <c r="B137"/>
      <c r="C137"/>
      <c r="D137"/>
      <c r="E137"/>
      <c r="F137"/>
      <c r="G137"/>
      <c r="H137"/>
      <c r="I137"/>
    </row>
    <row r="138" spans="1:9" ht="13.5">
      <c r="A138"/>
      <c r="B138"/>
      <c r="C138"/>
      <c r="D138"/>
      <c r="E138"/>
      <c r="F138"/>
      <c r="G138"/>
      <c r="H138"/>
      <c r="I138"/>
    </row>
    <row r="139" spans="1:9" ht="13.5">
      <c r="A139"/>
      <c r="B139"/>
      <c r="C139"/>
      <c r="D139"/>
      <c r="E139"/>
      <c r="F139"/>
      <c r="G139"/>
      <c r="H139"/>
      <c r="I139"/>
    </row>
    <row r="140" spans="1:9" ht="13.5">
      <c r="A140"/>
      <c r="B140"/>
      <c r="C140"/>
      <c r="D140"/>
      <c r="E140"/>
      <c r="F140"/>
      <c r="G140"/>
      <c r="H140"/>
      <c r="I140"/>
    </row>
    <row r="141" spans="1:9" ht="13.5">
      <c r="A141"/>
      <c r="B141"/>
      <c r="C141"/>
      <c r="D141"/>
      <c r="E141"/>
      <c r="F141"/>
      <c r="G141"/>
      <c r="H141"/>
      <c r="I141"/>
    </row>
    <row r="142" spans="1:9" ht="13.5">
      <c r="A142"/>
      <c r="B142"/>
      <c r="C142"/>
      <c r="D142"/>
      <c r="E142"/>
      <c r="F142"/>
      <c r="G142"/>
      <c r="H142"/>
      <c r="I142"/>
    </row>
    <row r="143" spans="1:9" ht="13.5">
      <c r="A143"/>
      <c r="B143"/>
      <c r="C143"/>
      <c r="D143"/>
      <c r="E143"/>
      <c r="F143"/>
      <c r="G143"/>
      <c r="H143"/>
      <c r="I143"/>
    </row>
    <row r="144" spans="1:9" ht="13.5">
      <c r="A144"/>
      <c r="B144"/>
      <c r="C144"/>
      <c r="D144"/>
      <c r="E144"/>
      <c r="F144"/>
      <c r="G144"/>
      <c r="H144"/>
      <c r="I144"/>
    </row>
    <row r="145" spans="1:9" ht="13.5">
      <c r="A145"/>
      <c r="B145"/>
      <c r="C145"/>
      <c r="D145"/>
      <c r="E145"/>
      <c r="F145"/>
      <c r="G145"/>
      <c r="H145"/>
      <c r="I145"/>
    </row>
    <row r="146" spans="1:9" ht="13.5">
      <c r="A146"/>
      <c r="B146"/>
      <c r="C146"/>
      <c r="D146"/>
      <c r="E146"/>
      <c r="F146"/>
      <c r="G146"/>
      <c r="H146"/>
      <c r="I146"/>
    </row>
    <row r="147" spans="1:9" ht="13.5">
      <c r="A147"/>
      <c r="B147"/>
      <c r="C147"/>
      <c r="D147"/>
      <c r="E147"/>
      <c r="F147"/>
      <c r="G147"/>
      <c r="H147"/>
      <c r="I147"/>
    </row>
    <row r="148" spans="1:9" ht="13.5">
      <c r="A148"/>
      <c r="B148"/>
      <c r="C148"/>
      <c r="D148"/>
      <c r="E148"/>
      <c r="F148"/>
      <c r="G148"/>
      <c r="H148"/>
      <c r="I148"/>
    </row>
    <row r="149" spans="1:9" ht="13.5">
      <c r="A149"/>
      <c r="B149"/>
      <c r="C149"/>
      <c r="D149"/>
      <c r="E149"/>
      <c r="F149"/>
      <c r="G149"/>
      <c r="H149"/>
      <c r="I149"/>
    </row>
    <row r="150" spans="1:9" ht="13.5">
      <c r="A150"/>
      <c r="B150"/>
      <c r="C150"/>
      <c r="D150"/>
      <c r="E150"/>
      <c r="F150"/>
      <c r="G150"/>
      <c r="H150"/>
      <c r="I150"/>
    </row>
    <row r="151" spans="1:9" ht="13.5">
      <c r="A151"/>
      <c r="B151"/>
      <c r="C151"/>
      <c r="D151"/>
      <c r="E151"/>
      <c r="F151"/>
      <c r="G151"/>
      <c r="H151"/>
      <c r="I151"/>
    </row>
    <row r="152" spans="1:9" ht="13.5">
      <c r="A152"/>
      <c r="B152"/>
      <c r="C152"/>
      <c r="D152"/>
      <c r="E152"/>
      <c r="F152"/>
      <c r="G152"/>
      <c r="H152"/>
      <c r="I152"/>
    </row>
    <row r="153" spans="1:9" ht="13.5">
      <c r="A153"/>
      <c r="B153"/>
      <c r="C153"/>
      <c r="D153"/>
      <c r="E153"/>
      <c r="F153"/>
      <c r="G153"/>
      <c r="H153"/>
      <c r="I153"/>
    </row>
    <row r="154" spans="1:9" ht="13.5">
      <c r="A154"/>
      <c r="B154"/>
      <c r="C154"/>
      <c r="D154"/>
      <c r="E154"/>
      <c r="F154"/>
      <c r="G154"/>
      <c r="H154"/>
      <c r="I154"/>
    </row>
    <row r="155" spans="1:9" ht="13.5">
      <c r="A155"/>
      <c r="B155"/>
      <c r="C155"/>
      <c r="D155"/>
      <c r="E155"/>
      <c r="F155"/>
      <c r="G155"/>
      <c r="H155"/>
      <c r="I155"/>
    </row>
    <row r="156" spans="1:9" ht="13.5">
      <c r="A156"/>
      <c r="B156"/>
      <c r="C156"/>
      <c r="D156"/>
      <c r="E156"/>
      <c r="F156"/>
      <c r="G156"/>
      <c r="H156"/>
      <c r="I156"/>
    </row>
    <row r="157" spans="1:9" ht="13.5">
      <c r="A157"/>
      <c r="B157"/>
      <c r="C157"/>
      <c r="D157"/>
      <c r="E157"/>
      <c r="F157"/>
      <c r="G157"/>
      <c r="H157"/>
      <c r="I157"/>
    </row>
    <row r="158" spans="1:9" ht="13.5">
      <c r="A158"/>
      <c r="B158"/>
      <c r="C158"/>
      <c r="D158"/>
      <c r="E158"/>
      <c r="F158"/>
      <c r="G158"/>
      <c r="H158"/>
      <c r="I158"/>
    </row>
    <row r="159" spans="1:9" ht="13.5">
      <c r="A159"/>
      <c r="B159"/>
      <c r="C159"/>
      <c r="D159"/>
      <c r="E159"/>
      <c r="F159"/>
      <c r="G159"/>
      <c r="H159"/>
      <c r="I159"/>
    </row>
    <row r="160" spans="1:9" ht="13.5">
      <c r="A160"/>
      <c r="B160"/>
      <c r="C160"/>
      <c r="D160"/>
      <c r="E160"/>
      <c r="F160"/>
      <c r="G160"/>
      <c r="H160"/>
      <c r="I160"/>
    </row>
    <row r="161" spans="1:9" ht="13.5">
      <c r="A161"/>
      <c r="B161"/>
      <c r="C161"/>
      <c r="D161"/>
      <c r="E161"/>
      <c r="F161"/>
      <c r="G161"/>
      <c r="H161"/>
      <c r="I161"/>
    </row>
    <row r="162" spans="1:9" ht="13.5">
      <c r="A162"/>
      <c r="B162"/>
      <c r="C162"/>
      <c r="D162"/>
      <c r="E162"/>
      <c r="F162"/>
      <c r="G162"/>
      <c r="H162"/>
      <c r="I162"/>
    </row>
    <row r="163" spans="1:9" ht="13.5">
      <c r="A163"/>
      <c r="B163"/>
      <c r="C163"/>
      <c r="D163"/>
      <c r="E163"/>
      <c r="F163"/>
      <c r="G163"/>
      <c r="H163"/>
      <c r="I163"/>
    </row>
    <row r="164" spans="1:9" ht="13.5">
      <c r="A164"/>
      <c r="B164"/>
      <c r="C164"/>
      <c r="D164"/>
      <c r="E164"/>
      <c r="F164"/>
      <c r="G164"/>
      <c r="H164"/>
      <c r="I164"/>
    </row>
    <row r="165" spans="1:9" ht="13.5">
      <c r="A165"/>
      <c r="B165"/>
      <c r="C165"/>
      <c r="D165"/>
      <c r="E165"/>
      <c r="F165"/>
      <c r="G165"/>
      <c r="H165"/>
      <c r="I165"/>
    </row>
    <row r="166" spans="1:9" ht="13.5">
      <c r="A166"/>
      <c r="B166"/>
      <c r="C166"/>
      <c r="D166"/>
      <c r="E166"/>
      <c r="F166"/>
      <c r="G166"/>
      <c r="H166"/>
      <c r="I166"/>
    </row>
    <row r="167" spans="1:9" ht="13.5">
      <c r="A167"/>
      <c r="B167"/>
      <c r="C167"/>
      <c r="D167"/>
      <c r="E167"/>
      <c r="F167"/>
      <c r="G167"/>
      <c r="H167"/>
      <c r="I167"/>
    </row>
    <row r="168" spans="1:9" ht="13.5">
      <c r="A168"/>
      <c r="B168"/>
      <c r="C168"/>
      <c r="D168"/>
      <c r="E168"/>
      <c r="F168"/>
      <c r="G168"/>
      <c r="H168"/>
      <c r="I168"/>
    </row>
    <row r="169" spans="1:9" ht="13.5">
      <c r="A169"/>
      <c r="B169"/>
      <c r="C169"/>
      <c r="D169"/>
      <c r="E169"/>
      <c r="F169"/>
      <c r="G169"/>
      <c r="H169"/>
      <c r="I169"/>
    </row>
    <row r="170" spans="1:9" ht="13.5">
      <c r="A170"/>
      <c r="B170"/>
      <c r="C170"/>
      <c r="D170"/>
      <c r="E170"/>
      <c r="F170"/>
      <c r="G170"/>
      <c r="H170"/>
      <c r="I170"/>
    </row>
    <row r="171" spans="1:9" ht="13.5">
      <c r="A171"/>
      <c r="B171"/>
      <c r="C171"/>
      <c r="D171"/>
      <c r="E171"/>
      <c r="F171"/>
      <c r="G171"/>
      <c r="H171"/>
      <c r="I171"/>
    </row>
    <row r="172" spans="1:9" ht="13.5">
      <c r="A172"/>
      <c r="B172"/>
      <c r="C172"/>
      <c r="D172"/>
      <c r="E172"/>
      <c r="F172"/>
      <c r="G172"/>
      <c r="H172"/>
      <c r="I172"/>
    </row>
    <row r="173" spans="1:9" ht="13.5">
      <c r="A173"/>
      <c r="B173"/>
      <c r="C173"/>
      <c r="D173"/>
      <c r="E173"/>
      <c r="F173"/>
      <c r="G173"/>
      <c r="H173"/>
      <c r="I173"/>
    </row>
    <row r="174" spans="1:9" ht="13.5">
      <c r="A174"/>
      <c r="B174"/>
      <c r="C174"/>
      <c r="D174"/>
      <c r="E174"/>
      <c r="F174"/>
      <c r="G174"/>
      <c r="H174"/>
      <c r="I174"/>
    </row>
    <row r="175" spans="1:9" ht="13.5">
      <c r="A175"/>
      <c r="B175"/>
      <c r="C175"/>
      <c r="D175"/>
      <c r="E175"/>
      <c r="F175"/>
      <c r="G175"/>
      <c r="H175"/>
      <c r="I175"/>
    </row>
    <row r="176" spans="1:9" ht="13.5">
      <c r="A176"/>
      <c r="B176"/>
      <c r="C176"/>
      <c r="D176"/>
      <c r="E176"/>
      <c r="F176"/>
      <c r="G176"/>
      <c r="H176"/>
      <c r="I176"/>
    </row>
    <row r="177" spans="1:9" ht="13.5">
      <c r="A177"/>
      <c r="B177"/>
      <c r="C177"/>
      <c r="D177"/>
      <c r="E177"/>
      <c r="F177"/>
      <c r="G177"/>
      <c r="H177"/>
      <c r="I177"/>
    </row>
    <row r="178" spans="1:9" ht="13.5">
      <c r="A178"/>
      <c r="B178"/>
      <c r="C178"/>
      <c r="D178"/>
      <c r="E178"/>
      <c r="F178"/>
      <c r="G178"/>
      <c r="H178"/>
      <c r="I178"/>
    </row>
    <row r="179" spans="1:9" ht="13.5">
      <c r="A179"/>
      <c r="B179"/>
      <c r="C179"/>
      <c r="D179"/>
      <c r="E179"/>
      <c r="F179"/>
      <c r="G179"/>
      <c r="H179"/>
      <c r="I179"/>
    </row>
    <row r="180" spans="1:9" ht="13.5">
      <c r="A180"/>
      <c r="B180"/>
      <c r="C180"/>
      <c r="D180"/>
      <c r="E180"/>
      <c r="F180"/>
      <c r="G180"/>
      <c r="H180"/>
      <c r="I180"/>
    </row>
    <row r="181" spans="1:9" ht="13.5">
      <c r="A181"/>
      <c r="B181"/>
      <c r="C181"/>
      <c r="D181"/>
      <c r="E181"/>
      <c r="F181"/>
      <c r="G181"/>
      <c r="H181"/>
      <c r="I181"/>
    </row>
    <row r="182" spans="1:9" ht="13.5">
      <c r="A182"/>
      <c r="B182"/>
      <c r="C182"/>
      <c r="D182"/>
      <c r="E182"/>
      <c r="F182"/>
      <c r="G182"/>
      <c r="H182"/>
      <c r="I182"/>
    </row>
    <row r="183" spans="1:9" ht="13.5">
      <c r="A183"/>
      <c r="B183"/>
      <c r="C183"/>
      <c r="D183"/>
      <c r="E183"/>
      <c r="F183"/>
      <c r="G183"/>
      <c r="H183"/>
      <c r="I183"/>
    </row>
    <row r="184" spans="1:9" ht="13.5">
      <c r="A184"/>
      <c r="B184"/>
      <c r="C184"/>
      <c r="D184"/>
      <c r="E184"/>
      <c r="F184"/>
      <c r="G184"/>
      <c r="H184"/>
      <c r="I184"/>
    </row>
    <row r="185" spans="1:9" ht="13.5">
      <c r="A185"/>
      <c r="B185"/>
      <c r="C185"/>
      <c r="D185"/>
      <c r="E185"/>
      <c r="F185"/>
      <c r="G185"/>
      <c r="H185"/>
      <c r="I185"/>
    </row>
    <row r="186" spans="1:9" ht="13.5">
      <c r="A186"/>
      <c r="B186"/>
      <c r="C186"/>
      <c r="D186"/>
      <c r="E186"/>
      <c r="F186"/>
      <c r="G186"/>
      <c r="H186"/>
      <c r="I186"/>
    </row>
    <row r="187" spans="1:9" ht="13.5">
      <c r="A187"/>
      <c r="B187"/>
      <c r="C187"/>
      <c r="D187"/>
      <c r="E187"/>
      <c r="F187"/>
      <c r="G187"/>
      <c r="H187"/>
      <c r="I187"/>
    </row>
    <row r="188" spans="1:9" ht="13.5">
      <c r="A188"/>
      <c r="B188"/>
      <c r="C188"/>
      <c r="D188"/>
      <c r="E188"/>
      <c r="F188"/>
      <c r="G188"/>
      <c r="H188"/>
      <c r="I188"/>
    </row>
    <row r="189" spans="1:9" ht="13.5">
      <c r="A189"/>
      <c r="B189"/>
      <c r="C189"/>
      <c r="D189"/>
      <c r="E189"/>
      <c r="F189"/>
      <c r="G189"/>
      <c r="H189"/>
      <c r="I189"/>
    </row>
    <row r="190" spans="1:9" ht="13.5">
      <c r="A190"/>
      <c r="B190"/>
      <c r="C190"/>
      <c r="D190"/>
      <c r="E190"/>
      <c r="F190"/>
      <c r="G190"/>
      <c r="H190"/>
      <c r="I190"/>
    </row>
    <row r="191" spans="1:9" ht="13.5">
      <c r="A191"/>
      <c r="B191"/>
      <c r="C191"/>
      <c r="D191"/>
      <c r="E191"/>
      <c r="F191"/>
      <c r="G191"/>
      <c r="H191"/>
      <c r="I191"/>
    </row>
    <row r="192" spans="1:9" ht="13.5">
      <c r="A192"/>
      <c r="B192"/>
      <c r="C192"/>
      <c r="D192"/>
      <c r="E192"/>
      <c r="F192"/>
      <c r="G192"/>
      <c r="H192"/>
      <c r="I192"/>
    </row>
    <row r="193" spans="1:9" ht="13.5">
      <c r="A193"/>
      <c r="B193"/>
      <c r="C193"/>
      <c r="D193"/>
      <c r="E193"/>
      <c r="F193"/>
      <c r="G193"/>
      <c r="H193"/>
      <c r="I193"/>
    </row>
    <row r="194" spans="1:9" ht="13.5">
      <c r="A194"/>
      <c r="B194"/>
      <c r="C194"/>
      <c r="D194"/>
      <c r="E194"/>
      <c r="F194"/>
      <c r="G194"/>
      <c r="H194"/>
      <c r="I194"/>
    </row>
    <row r="195" spans="1:9" ht="13.5">
      <c r="A195"/>
      <c r="B195"/>
      <c r="C195"/>
      <c r="D195"/>
      <c r="E195"/>
      <c r="F195"/>
      <c r="G195"/>
      <c r="H195"/>
      <c r="I195"/>
    </row>
    <row r="196" spans="1:9" ht="13.5">
      <c r="A196"/>
      <c r="B196"/>
      <c r="C196"/>
      <c r="D196"/>
      <c r="E196"/>
      <c r="F196"/>
      <c r="G196"/>
      <c r="H196"/>
      <c r="I196"/>
    </row>
    <row r="197" spans="1:9" ht="13.5">
      <c r="A197"/>
      <c r="B197"/>
      <c r="C197"/>
      <c r="D197"/>
      <c r="E197"/>
      <c r="F197"/>
      <c r="G197"/>
      <c r="H197"/>
      <c r="I197"/>
    </row>
    <row r="198" spans="1:9" ht="13.5">
      <c r="A198"/>
      <c r="B198"/>
      <c r="C198"/>
      <c r="D198"/>
      <c r="E198"/>
      <c r="F198"/>
      <c r="G198"/>
      <c r="H198"/>
      <c r="I198"/>
    </row>
    <row r="199" spans="1:9" ht="13.5">
      <c r="A199"/>
      <c r="B199"/>
      <c r="C199"/>
      <c r="D199"/>
      <c r="E199"/>
      <c r="F199"/>
      <c r="G199"/>
      <c r="H199"/>
      <c r="I199"/>
    </row>
    <row r="200" spans="1:9" ht="13.5">
      <c r="A200"/>
      <c r="B200"/>
      <c r="C200"/>
      <c r="D200"/>
      <c r="E200"/>
      <c r="F200"/>
      <c r="G200"/>
      <c r="H200"/>
      <c r="I200"/>
    </row>
    <row r="201" spans="1:9" ht="13.5">
      <c r="A201"/>
      <c r="B201"/>
      <c r="C201"/>
      <c r="D201"/>
      <c r="E201"/>
      <c r="F201"/>
      <c r="G201"/>
      <c r="H201"/>
      <c r="I201"/>
    </row>
    <row r="202" spans="1:9" ht="13.5">
      <c r="A202"/>
      <c r="B202"/>
      <c r="C202"/>
      <c r="D202"/>
      <c r="E202"/>
      <c r="F202"/>
      <c r="G202"/>
      <c r="H202"/>
      <c r="I202"/>
    </row>
    <row r="203" spans="1:9" ht="13.5">
      <c r="A203"/>
      <c r="B203"/>
      <c r="C203"/>
      <c r="D203"/>
      <c r="E203"/>
      <c r="F203"/>
      <c r="G203"/>
      <c r="H203"/>
      <c r="I203"/>
    </row>
    <row r="204" spans="1:9" ht="13.5">
      <c r="A204"/>
      <c r="B204"/>
      <c r="C204"/>
      <c r="D204"/>
      <c r="E204"/>
      <c r="F204"/>
      <c r="G204"/>
      <c r="H204"/>
      <c r="I204"/>
    </row>
    <row r="205" spans="1:9" ht="13.5">
      <c r="A205"/>
      <c r="B205"/>
      <c r="C205"/>
      <c r="D205"/>
      <c r="E205"/>
      <c r="F205"/>
      <c r="G205"/>
      <c r="H205"/>
      <c r="I205"/>
    </row>
    <row r="206" spans="1:9" ht="13.5">
      <c r="A206"/>
      <c r="B206"/>
      <c r="C206"/>
      <c r="D206"/>
      <c r="E206"/>
      <c r="F206"/>
      <c r="G206"/>
      <c r="H206"/>
      <c r="I206"/>
    </row>
    <row r="207" spans="1:9" ht="13.5">
      <c r="A207"/>
      <c r="B207"/>
      <c r="C207"/>
      <c r="D207"/>
      <c r="E207"/>
      <c r="F207"/>
      <c r="G207"/>
      <c r="H207"/>
      <c r="I207"/>
    </row>
    <row r="208" spans="1:9" ht="13.5">
      <c r="A208"/>
      <c r="B208"/>
      <c r="C208"/>
      <c r="D208"/>
      <c r="E208"/>
      <c r="F208"/>
      <c r="G208"/>
      <c r="H208"/>
      <c r="I208"/>
    </row>
    <row r="209" spans="1:9" ht="13.5">
      <c r="A209"/>
      <c r="B209"/>
      <c r="C209"/>
      <c r="D209"/>
      <c r="E209"/>
      <c r="F209"/>
      <c r="G209"/>
      <c r="H209"/>
      <c r="I209"/>
    </row>
    <row r="210" spans="1:9" ht="13.5">
      <c r="A210"/>
      <c r="B210"/>
      <c r="C210"/>
      <c r="D210"/>
      <c r="E210"/>
      <c r="F210"/>
      <c r="G210"/>
      <c r="H210"/>
      <c r="I210"/>
    </row>
    <row r="211" spans="1:9" ht="13.5">
      <c r="A211"/>
      <c r="B211"/>
      <c r="C211"/>
      <c r="D211"/>
      <c r="E211"/>
      <c r="F211"/>
      <c r="G211"/>
      <c r="H211"/>
      <c r="I211"/>
    </row>
    <row r="212" spans="1:9" ht="13.5">
      <c r="A212"/>
      <c r="B212"/>
      <c r="C212"/>
      <c r="D212"/>
      <c r="E212"/>
      <c r="F212"/>
      <c r="G212"/>
      <c r="H212"/>
      <c r="I212"/>
    </row>
    <row r="213" spans="1:9" ht="13.5">
      <c r="A213"/>
      <c r="B213"/>
      <c r="C213"/>
      <c r="D213"/>
      <c r="E213"/>
      <c r="F213"/>
      <c r="G213"/>
      <c r="H213"/>
      <c r="I213"/>
    </row>
    <row r="214" spans="1:9" ht="13.5">
      <c r="A214"/>
      <c r="B214"/>
      <c r="C214"/>
      <c r="D214"/>
      <c r="E214"/>
      <c r="F214"/>
      <c r="G214"/>
      <c r="H214"/>
      <c r="I214"/>
    </row>
    <row r="215" spans="1:9" ht="13.5">
      <c r="A215"/>
      <c r="B215"/>
      <c r="C215"/>
      <c r="D215"/>
      <c r="E215"/>
      <c r="F215"/>
      <c r="G215"/>
      <c r="H215"/>
      <c r="I215"/>
    </row>
    <row r="216" spans="1:9" ht="13.5">
      <c r="A216"/>
      <c r="B216"/>
      <c r="C216"/>
      <c r="D216"/>
      <c r="E216"/>
      <c r="F216"/>
      <c r="G216"/>
      <c r="H216"/>
      <c r="I216"/>
    </row>
    <row r="217" spans="1:9" ht="13.5">
      <c r="A217"/>
      <c r="B217"/>
      <c r="C217"/>
      <c r="D217"/>
      <c r="E217"/>
      <c r="F217"/>
      <c r="G217"/>
      <c r="H217"/>
      <c r="I217"/>
    </row>
    <row r="218" spans="1:9" ht="13.5">
      <c r="A218"/>
      <c r="B218"/>
      <c r="C218"/>
      <c r="D218"/>
      <c r="E218"/>
      <c r="F218"/>
      <c r="G218"/>
      <c r="H218"/>
      <c r="I218"/>
    </row>
    <row r="219" spans="1:9" ht="13.5">
      <c r="A219"/>
      <c r="B219"/>
      <c r="C219"/>
      <c r="D219"/>
      <c r="E219"/>
      <c r="F219"/>
      <c r="G219"/>
      <c r="H219"/>
      <c r="I219"/>
    </row>
    <row r="220" spans="1:9" ht="13.5">
      <c r="A220"/>
      <c r="B220"/>
      <c r="C220"/>
      <c r="D220"/>
      <c r="E220"/>
      <c r="F220"/>
      <c r="G220"/>
      <c r="H220"/>
      <c r="I220"/>
    </row>
    <row r="221" spans="1:9" ht="13.5">
      <c r="A221"/>
      <c r="B221"/>
      <c r="C221"/>
      <c r="D221"/>
      <c r="E221"/>
      <c r="F221"/>
      <c r="G221"/>
      <c r="H221"/>
      <c r="I221"/>
    </row>
    <row r="222" spans="1:9" ht="13.5">
      <c r="A222"/>
      <c r="B222"/>
      <c r="C222"/>
      <c r="D222"/>
      <c r="E222"/>
      <c r="F222"/>
      <c r="G222"/>
      <c r="H222"/>
      <c r="I222"/>
    </row>
    <row r="223" spans="1:9" ht="13.5">
      <c r="A223"/>
      <c r="B223"/>
      <c r="C223"/>
      <c r="D223"/>
      <c r="E223"/>
      <c r="F223"/>
      <c r="G223"/>
      <c r="H223"/>
      <c r="I223"/>
    </row>
    <row r="224" spans="1:9" ht="13.5">
      <c r="A224"/>
      <c r="B224"/>
      <c r="C224"/>
      <c r="D224"/>
      <c r="E224"/>
      <c r="F224"/>
      <c r="G224"/>
      <c r="H224"/>
      <c r="I224"/>
    </row>
    <row r="225" spans="1:9" ht="13.5">
      <c r="A225"/>
      <c r="B225"/>
      <c r="C225"/>
      <c r="D225"/>
      <c r="E225"/>
      <c r="F225"/>
      <c r="G225"/>
      <c r="H225"/>
      <c r="I225"/>
    </row>
    <row r="226" spans="1:9" ht="13.5">
      <c r="A226"/>
      <c r="B226"/>
      <c r="C226"/>
      <c r="D226"/>
      <c r="E226"/>
      <c r="F226"/>
      <c r="G226"/>
      <c r="H226"/>
      <c r="I226"/>
    </row>
    <row r="227" spans="1:9" ht="13.5">
      <c r="A227"/>
      <c r="B227"/>
      <c r="C227"/>
      <c r="D227"/>
      <c r="E227"/>
      <c r="F227"/>
      <c r="G227"/>
      <c r="H227"/>
      <c r="I227"/>
    </row>
    <row r="228" spans="1:9" ht="13.5">
      <c r="A228"/>
      <c r="B228"/>
      <c r="C228"/>
      <c r="D228"/>
      <c r="E228"/>
      <c r="F228"/>
      <c r="G228"/>
      <c r="H228"/>
      <c r="I228"/>
    </row>
    <row r="229" spans="1:9" ht="13.5">
      <c r="A229"/>
      <c r="B229"/>
      <c r="C229"/>
      <c r="D229"/>
      <c r="E229"/>
      <c r="F229"/>
      <c r="G229"/>
      <c r="H229"/>
      <c r="I229"/>
    </row>
    <row r="230" spans="1:9" ht="13.5">
      <c r="A230"/>
      <c r="B230"/>
      <c r="C230"/>
      <c r="D230"/>
      <c r="E230"/>
      <c r="F230"/>
      <c r="G230"/>
      <c r="H230"/>
      <c r="I230"/>
    </row>
    <row r="231" spans="1:9" ht="13.5">
      <c r="A231"/>
      <c r="B231"/>
      <c r="C231"/>
      <c r="D231"/>
      <c r="E231"/>
      <c r="F231"/>
      <c r="G231"/>
      <c r="H231"/>
      <c r="I231"/>
    </row>
    <row r="232" spans="1:9" ht="13.5">
      <c r="A232"/>
      <c r="B232"/>
      <c r="C232"/>
      <c r="D232"/>
      <c r="E232"/>
      <c r="F232"/>
      <c r="G232"/>
      <c r="H232"/>
      <c r="I232"/>
    </row>
    <row r="233" spans="1:9" ht="13.5">
      <c r="A233"/>
      <c r="B233"/>
      <c r="C233"/>
      <c r="D233"/>
      <c r="E233"/>
      <c r="F233"/>
      <c r="G233"/>
      <c r="H233"/>
      <c r="I233"/>
    </row>
    <row r="234" spans="1:9" ht="13.5">
      <c r="A234"/>
      <c r="B234"/>
      <c r="C234"/>
      <c r="D234"/>
      <c r="E234"/>
      <c r="F234"/>
      <c r="G234"/>
      <c r="H234"/>
      <c r="I234"/>
    </row>
    <row r="235" spans="1:9" ht="13.5">
      <c r="A235"/>
      <c r="B235"/>
      <c r="C235"/>
      <c r="D235"/>
      <c r="E235"/>
      <c r="F235"/>
      <c r="G235"/>
      <c r="H235"/>
      <c r="I235"/>
    </row>
    <row r="236" spans="1:9" ht="13.5">
      <c r="A236"/>
      <c r="B236"/>
      <c r="C236"/>
      <c r="D236"/>
      <c r="E236"/>
      <c r="F236"/>
      <c r="G236"/>
      <c r="H236"/>
      <c r="I236"/>
    </row>
    <row r="237" spans="1:9" ht="13.5">
      <c r="A237"/>
      <c r="B237"/>
      <c r="C237"/>
      <c r="D237"/>
      <c r="E237"/>
      <c r="F237"/>
      <c r="G237"/>
      <c r="H237"/>
      <c r="I237"/>
    </row>
    <row r="238" spans="1:9" ht="13.5">
      <c r="A238"/>
      <c r="B238"/>
      <c r="C238"/>
      <c r="D238"/>
      <c r="E238"/>
      <c r="F238"/>
      <c r="G238"/>
      <c r="H238"/>
      <c r="I238"/>
    </row>
    <row r="239" spans="1:9" ht="13.5">
      <c r="A239"/>
      <c r="B239"/>
      <c r="C239"/>
      <c r="D239"/>
      <c r="E239"/>
      <c r="F239"/>
      <c r="G239"/>
      <c r="H239"/>
      <c r="I239"/>
    </row>
    <row r="240" spans="1:9" ht="13.5">
      <c r="A240"/>
      <c r="B240"/>
      <c r="C240"/>
      <c r="D240"/>
      <c r="E240"/>
      <c r="F240"/>
      <c r="G240"/>
      <c r="H240"/>
      <c r="I240"/>
    </row>
    <row r="241" spans="1:9" ht="13.5">
      <c r="A241"/>
      <c r="B241"/>
      <c r="C241"/>
      <c r="D241"/>
      <c r="E241"/>
      <c r="F241"/>
      <c r="G241"/>
      <c r="H241"/>
      <c r="I241"/>
    </row>
    <row r="242" spans="1:9" ht="13.5">
      <c r="A242"/>
      <c r="B242"/>
      <c r="C242"/>
      <c r="D242"/>
      <c r="E242"/>
      <c r="F242"/>
      <c r="G242"/>
      <c r="H242"/>
      <c r="I242"/>
    </row>
    <row r="243" spans="1:9" ht="13.5">
      <c r="A243"/>
      <c r="B243"/>
      <c r="C243"/>
      <c r="D243"/>
      <c r="E243"/>
      <c r="F243"/>
      <c r="G243"/>
      <c r="H243"/>
      <c r="I243"/>
    </row>
    <row r="244" spans="1:9" ht="13.5">
      <c r="A244"/>
      <c r="B244"/>
      <c r="C244"/>
      <c r="D244"/>
      <c r="E244"/>
      <c r="F244"/>
      <c r="G244"/>
      <c r="H244"/>
      <c r="I244"/>
    </row>
    <row r="245" spans="1:9" ht="13.5">
      <c r="A245"/>
      <c r="B245"/>
      <c r="C245"/>
      <c r="D245"/>
      <c r="E245"/>
      <c r="F245"/>
      <c r="G245"/>
      <c r="H245"/>
      <c r="I245"/>
    </row>
    <row r="246" spans="1:9" ht="13.5">
      <c r="A246"/>
      <c r="B246"/>
      <c r="C246"/>
      <c r="D246"/>
      <c r="E246"/>
      <c r="F246"/>
      <c r="G246"/>
      <c r="H246"/>
      <c r="I246"/>
    </row>
    <row r="247" spans="1:9" ht="13.5">
      <c r="A247"/>
      <c r="B247"/>
      <c r="C247"/>
      <c r="D247"/>
      <c r="E247"/>
      <c r="F247"/>
      <c r="G247"/>
      <c r="H247"/>
      <c r="I247"/>
    </row>
    <row r="248" spans="1:9" ht="13.5">
      <c r="A248"/>
      <c r="B248"/>
      <c r="C248"/>
      <c r="D248"/>
      <c r="E248"/>
      <c r="F248"/>
      <c r="G248"/>
      <c r="H248"/>
      <c r="I248"/>
    </row>
    <row r="249" spans="1:9" ht="13.5">
      <c r="A249"/>
      <c r="B249"/>
      <c r="C249"/>
      <c r="D249"/>
      <c r="E249"/>
      <c r="F249"/>
      <c r="G249"/>
      <c r="H249"/>
      <c r="I249"/>
    </row>
    <row r="250" spans="1:9" ht="13.5">
      <c r="A250"/>
      <c r="B250"/>
      <c r="C250"/>
      <c r="D250"/>
      <c r="E250"/>
      <c r="F250"/>
      <c r="G250"/>
      <c r="H250"/>
      <c r="I250"/>
    </row>
    <row r="251" spans="1:9" ht="13.5">
      <c r="A251"/>
      <c r="B251"/>
      <c r="C251"/>
      <c r="D251"/>
      <c r="E251"/>
      <c r="F251"/>
      <c r="G251"/>
      <c r="H251"/>
      <c r="I251"/>
    </row>
    <row r="252" spans="1:9" ht="13.5">
      <c r="A252"/>
      <c r="B252"/>
      <c r="C252"/>
      <c r="D252"/>
      <c r="E252"/>
      <c r="F252"/>
      <c r="G252"/>
      <c r="H252"/>
      <c r="I252"/>
    </row>
    <row r="253" spans="1:9" ht="13.5">
      <c r="A253"/>
      <c r="B253"/>
      <c r="C253"/>
      <c r="D253"/>
      <c r="E253"/>
      <c r="F253"/>
      <c r="G253"/>
      <c r="H253"/>
      <c r="I253"/>
    </row>
    <row r="254" spans="1:9" ht="13.5">
      <c r="A254"/>
      <c r="B254"/>
      <c r="C254"/>
      <c r="D254"/>
      <c r="E254"/>
      <c r="F254"/>
      <c r="G254"/>
      <c r="H254"/>
      <c r="I254"/>
    </row>
    <row r="255" spans="1:9" ht="13.5">
      <c r="A255"/>
      <c r="B255"/>
      <c r="C255"/>
      <c r="D255"/>
      <c r="E255"/>
      <c r="F255"/>
      <c r="G255"/>
      <c r="H255"/>
      <c r="I255"/>
    </row>
    <row r="256" spans="1:9" ht="13.5">
      <c r="A256"/>
      <c r="B256"/>
      <c r="C256"/>
      <c r="D256"/>
      <c r="E256"/>
      <c r="F256"/>
      <c r="G256"/>
      <c r="H256"/>
      <c r="I256"/>
    </row>
    <row r="257" spans="1:9" ht="13.5">
      <c r="A257"/>
      <c r="B257"/>
      <c r="C257"/>
      <c r="D257"/>
      <c r="E257"/>
      <c r="F257"/>
      <c r="G257"/>
      <c r="H257"/>
      <c r="I257"/>
    </row>
    <row r="258" spans="1:9" ht="13.5">
      <c r="A258"/>
      <c r="B258"/>
      <c r="C258"/>
      <c r="D258"/>
      <c r="E258"/>
      <c r="F258"/>
      <c r="G258"/>
      <c r="H258"/>
      <c r="I258"/>
    </row>
    <row r="259" spans="1:9" ht="13.5">
      <c r="A259"/>
      <c r="B259"/>
      <c r="C259"/>
      <c r="D259"/>
      <c r="E259"/>
      <c r="F259"/>
      <c r="G259"/>
      <c r="H259"/>
      <c r="I259"/>
    </row>
    <row r="260" spans="1:9" ht="13.5">
      <c r="A260"/>
      <c r="B260"/>
      <c r="C260"/>
      <c r="D260"/>
      <c r="E260"/>
      <c r="F260"/>
      <c r="G260"/>
      <c r="H260"/>
      <c r="I260"/>
    </row>
    <row r="261" spans="1:9" ht="13.5">
      <c r="A261"/>
      <c r="B261"/>
      <c r="C261"/>
      <c r="D261"/>
      <c r="E261"/>
      <c r="F261"/>
      <c r="G261"/>
      <c r="H261"/>
      <c r="I261"/>
    </row>
    <row r="262" spans="1:9" ht="13.5">
      <c r="A262"/>
      <c r="B262"/>
      <c r="C262"/>
      <c r="D262"/>
      <c r="E262"/>
      <c r="F262"/>
      <c r="G262"/>
      <c r="H262"/>
      <c r="I262"/>
    </row>
    <row r="263" spans="1:9" ht="13.5">
      <c r="A263"/>
      <c r="B263"/>
      <c r="C263"/>
      <c r="D263"/>
      <c r="E263"/>
      <c r="F263"/>
      <c r="G263"/>
      <c r="H263"/>
      <c r="I263"/>
    </row>
    <row r="264" spans="1:9" ht="13.5">
      <c r="A264"/>
      <c r="B264"/>
      <c r="C264"/>
      <c r="D264"/>
      <c r="E264"/>
      <c r="F264"/>
      <c r="G264"/>
      <c r="H264"/>
      <c r="I264"/>
    </row>
    <row r="265" spans="1:9" ht="13.5">
      <c r="A265"/>
      <c r="B265"/>
      <c r="C265"/>
      <c r="D265"/>
      <c r="E265"/>
      <c r="F265"/>
      <c r="G265"/>
      <c r="H265"/>
      <c r="I265"/>
    </row>
    <row r="266" spans="1:9" ht="13.5">
      <c r="A266"/>
      <c r="B266"/>
      <c r="C266"/>
      <c r="D266"/>
      <c r="E266"/>
      <c r="F266"/>
      <c r="G266"/>
      <c r="H266"/>
      <c r="I266"/>
    </row>
    <row r="267" spans="1:9" ht="13.5">
      <c r="A267"/>
      <c r="B267"/>
      <c r="C267"/>
      <c r="D267"/>
      <c r="E267"/>
      <c r="F267"/>
      <c r="G267"/>
      <c r="H267"/>
      <c r="I267"/>
    </row>
    <row r="268" spans="1:9" ht="13.5">
      <c r="A268"/>
      <c r="B268"/>
      <c r="C268"/>
      <c r="D268"/>
      <c r="E268"/>
      <c r="F268"/>
      <c r="G268"/>
      <c r="H268"/>
      <c r="I268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3" sqref="B3"/>
    </sheetView>
  </sheetViews>
  <sheetFormatPr defaultColWidth="11.00390625" defaultRowHeight="12.75"/>
  <sheetData>
    <row r="1" spans="3:4" ht="13.5">
      <c r="C1" t="s">
        <v>37</v>
      </c>
      <c r="D1" s="14">
        <v>0.45</v>
      </c>
    </row>
    <row r="2" spans="1:4" ht="13.5">
      <c r="A2" t="s">
        <v>38</v>
      </c>
      <c r="B2" s="8" t="s">
        <v>48</v>
      </c>
      <c r="C2" s="14" t="s">
        <v>49</v>
      </c>
      <c r="D2" s="19"/>
    </row>
    <row r="3" spans="1:3" ht="13.5">
      <c r="A3">
        <v>0</v>
      </c>
      <c r="B3" s="8">
        <f aca="true" t="shared" si="0" ref="B3:B38">gdBCS(A3,D$1)/1E+45</f>
        <v>0.17240889202393272</v>
      </c>
      <c r="C3" s="19">
        <f>(0.177+A3*(0.012963+A3*(-0.00019723+A3*0.0000039006)))</f>
        <v>0.177</v>
      </c>
    </row>
    <row r="4" spans="1:3" ht="13.5">
      <c r="A4">
        <v>1</v>
      </c>
      <c r="B4" s="8">
        <f t="shared" si="0"/>
        <v>0.183597741627223</v>
      </c>
      <c r="C4" s="19">
        <f aca="true" t="shared" si="1" ref="C4:C19">(0.177+A4*(0.012963+A4*(-0.00019723+A4*0.0000039006)))</f>
        <v>0.1897696706</v>
      </c>
    </row>
    <row r="5" spans="1:3" ht="13.5">
      <c r="A5">
        <v>2</v>
      </c>
      <c r="B5" s="8">
        <f t="shared" si="0"/>
        <v>0.19509262016775428</v>
      </c>
      <c r="C5" s="19">
        <f t="shared" si="1"/>
        <v>0.2021682848</v>
      </c>
    </row>
    <row r="6" spans="1:3" ht="13.5">
      <c r="A6">
        <v>3</v>
      </c>
      <c r="B6" s="8">
        <f t="shared" si="0"/>
        <v>0.20668038365187394</v>
      </c>
      <c r="C6" s="19">
        <f t="shared" si="1"/>
        <v>0.2142192462</v>
      </c>
    </row>
    <row r="7" spans="1:3" ht="13.5">
      <c r="A7">
        <v>4</v>
      </c>
      <c r="B7" s="8">
        <f t="shared" si="0"/>
        <v>0.2182286201109057</v>
      </c>
      <c r="C7" s="19">
        <f t="shared" si="1"/>
        <v>0.22594595839999998</v>
      </c>
    </row>
    <row r="8" spans="1:3" ht="13.5">
      <c r="A8">
        <v>5</v>
      </c>
      <c r="B8" s="8">
        <f t="shared" si="0"/>
        <v>0.22966072673833304</v>
      </c>
      <c r="C8" s="19">
        <f t="shared" si="1"/>
        <v>0.23737182499999998</v>
      </c>
    </row>
    <row r="9" spans="1:3" ht="13.5">
      <c r="A9">
        <v>6</v>
      </c>
      <c r="B9" s="8">
        <f t="shared" si="0"/>
        <v>0.240941205831368</v>
      </c>
      <c r="C9" s="19">
        <f t="shared" si="1"/>
        <v>0.2485202496</v>
      </c>
    </row>
    <row r="10" spans="1:3" ht="13.5">
      <c r="A10">
        <v>7</v>
      </c>
      <c r="B10" s="8">
        <f t="shared" si="0"/>
        <v>0.25206530847386227</v>
      </c>
      <c r="C10" s="19">
        <f t="shared" si="1"/>
        <v>0.2594146358</v>
      </c>
    </row>
    <row r="11" spans="1:3" ht="13.5">
      <c r="A11">
        <v>8</v>
      </c>
      <c r="B11" s="8">
        <f t="shared" si="0"/>
        <v>0.2630508394852321</v>
      </c>
      <c r="C11" s="19">
        <f t="shared" si="1"/>
        <v>0.2700783872</v>
      </c>
    </row>
    <row r="12" spans="1:3" ht="13.5">
      <c r="A12">
        <v>9</v>
      </c>
      <c r="B12" s="8">
        <f t="shared" si="0"/>
        <v>0.27393130954143247</v>
      </c>
      <c r="C12" s="19">
        <f t="shared" si="1"/>
        <v>0.2805349074</v>
      </c>
    </row>
    <row r="13" spans="1:3" ht="13.5">
      <c r="A13">
        <v>10</v>
      </c>
      <c r="B13" s="8">
        <f t="shared" si="0"/>
        <v>0.2847501347555936</v>
      </c>
      <c r="C13" s="19">
        <f t="shared" si="1"/>
        <v>0.2908076</v>
      </c>
    </row>
    <row r="14" spans="1:3" ht="13.5">
      <c r="A14">
        <v>11</v>
      </c>
      <c r="B14" s="8">
        <f t="shared" si="0"/>
        <v>0.2955557600301615</v>
      </c>
      <c r="C14" s="19">
        <f t="shared" si="1"/>
        <v>0.3009198686</v>
      </c>
    </row>
    <row r="15" spans="1:3" ht="13.5">
      <c r="A15">
        <v>12</v>
      </c>
      <c r="B15" s="8">
        <f t="shared" si="0"/>
        <v>0.3063976277345193</v>
      </c>
      <c r="C15" s="19">
        <f t="shared" si="1"/>
        <v>0.3108951168</v>
      </c>
    </row>
    <row r="16" spans="1:3" ht="13.5">
      <c r="A16">
        <v>13</v>
      </c>
      <c r="B16" s="8">
        <f t="shared" si="0"/>
        <v>0.31732291560082876</v>
      </c>
      <c r="C16" s="19">
        <f t="shared" si="1"/>
        <v>0.3207567482</v>
      </c>
    </row>
    <row r="17" spans="1:3" ht="13.5">
      <c r="A17">
        <v>14</v>
      </c>
      <c r="B17" s="8">
        <f t="shared" si="0"/>
        <v>0.32837396382215717</v>
      </c>
      <c r="C17" s="19">
        <f t="shared" si="1"/>
        <v>0.3305281664</v>
      </c>
    </row>
    <row r="18" spans="1:3" ht="13.5">
      <c r="A18">
        <v>15</v>
      </c>
      <c r="B18" s="8">
        <f t="shared" si="0"/>
        <v>0.33958631448146887</v>
      </c>
      <c r="C18" s="19">
        <f t="shared" si="1"/>
        <v>0.34023277500000004</v>
      </c>
    </row>
    <row r="19" spans="1:3" ht="13.5">
      <c r="A19">
        <v>16</v>
      </c>
      <c r="B19" s="8">
        <f t="shared" si="0"/>
        <v>0.35098729924907723</v>
      </c>
      <c r="C19" s="19">
        <f t="shared" si="1"/>
        <v>0.3498939776</v>
      </c>
    </row>
    <row r="20" spans="1:3" ht="13.5">
      <c r="A20">
        <v>17</v>
      </c>
      <c r="B20" s="8">
        <f t="shared" si="0"/>
        <v>0.36259513180912045</v>
      </c>
      <c r="C20" s="19">
        <f aca="true" t="shared" si="2" ref="C20:C35">(0.177+A20*(0.012963+A20*(-0.00019723+A20*0.0000039006)))</f>
        <v>0.3595351778</v>
      </c>
    </row>
    <row r="21" spans="1:3" ht="13.5">
      <c r="A21">
        <v>18</v>
      </c>
      <c r="B21" s="8">
        <f t="shared" si="0"/>
        <v>0.3744184861711473</v>
      </c>
      <c r="C21" s="19">
        <f t="shared" si="2"/>
        <v>0.3691797792</v>
      </c>
    </row>
    <row r="22" spans="1:3" ht="13.5">
      <c r="A22">
        <v>19</v>
      </c>
      <c r="B22" s="8">
        <f t="shared" si="0"/>
        <v>0.38645656712126225</v>
      </c>
      <c r="C22" s="19">
        <f t="shared" si="2"/>
        <v>0.3788511854</v>
      </c>
    </row>
    <row r="23" spans="1:3" ht="13.5">
      <c r="A23">
        <v>20</v>
      </c>
      <c r="B23" s="8">
        <f t="shared" si="0"/>
        <v>0.3986997011413909</v>
      </c>
      <c r="C23" s="19">
        <f t="shared" si="2"/>
        <v>0.3885728</v>
      </c>
    </row>
    <row r="24" spans="1:3" ht="13.5">
      <c r="A24">
        <v>21</v>
      </c>
      <c r="B24" s="8">
        <f t="shared" si="0"/>
        <v>0.4111304923359113</v>
      </c>
      <c r="C24" s="19">
        <f t="shared" si="2"/>
        <v>0.39836802660000004</v>
      </c>
    </row>
    <row r="25" spans="1:3" ht="13.5">
      <c r="A25">
        <v>22</v>
      </c>
      <c r="B25" s="8">
        <f t="shared" si="0"/>
        <v>0.42372559618402417</v>
      </c>
      <c r="C25" s="19">
        <f t="shared" si="2"/>
        <v>0.4082602688</v>
      </c>
    </row>
    <row r="26" spans="1:3" ht="13.5">
      <c r="A26">
        <v>23</v>
      </c>
      <c r="B26" s="8">
        <f t="shared" si="0"/>
        <v>0.43645816323780995</v>
      </c>
      <c r="C26" s="19">
        <f t="shared" si="2"/>
        <v>0.4182729302</v>
      </c>
    </row>
    <row r="27" spans="1:3" ht="13.5">
      <c r="A27">
        <v>24</v>
      </c>
      <c r="B27" s="8">
        <f t="shared" si="0"/>
        <v>0.44930099553794495</v>
      </c>
      <c r="C27" s="19">
        <f t="shared" si="2"/>
        <v>0.4284294144</v>
      </c>
    </row>
    <row r="28" spans="1:3" ht="13.5">
      <c r="A28">
        <v>25</v>
      </c>
      <c r="B28" s="8">
        <f t="shared" si="0"/>
        <v>0.46223044263715624</v>
      </c>
      <c r="C28" s="19">
        <f t="shared" si="2"/>
        <v>0.438753125</v>
      </c>
    </row>
    <row r="29" spans="1:3" ht="13.5">
      <c r="A29">
        <v>26</v>
      </c>
      <c r="B29" s="8">
        <f t="shared" si="0"/>
        <v>0.4752310459992374</v>
      </c>
      <c r="C29" s="19">
        <f t="shared" si="2"/>
        <v>0.44926746559999997</v>
      </c>
    </row>
    <row r="30" spans="1:3" ht="13.5">
      <c r="A30">
        <v>27</v>
      </c>
      <c r="B30" s="8">
        <f t="shared" si="0"/>
        <v>0.4883009269197192</v>
      </c>
      <c r="C30" s="19">
        <f t="shared" si="2"/>
        <v>0.45999583980000003</v>
      </c>
    </row>
    <row r="31" spans="1:3" ht="13.5">
      <c r="A31">
        <v>28</v>
      </c>
      <c r="B31" s="8">
        <f t="shared" si="0"/>
        <v>0.5014579132730321</v>
      </c>
      <c r="C31" s="19">
        <f t="shared" si="2"/>
        <v>0.4709616512</v>
      </c>
    </row>
    <row r="32" spans="1:3" ht="13.5">
      <c r="A32">
        <v>29</v>
      </c>
      <c r="B32" s="8">
        <f t="shared" si="0"/>
        <v>0.5147464261071962</v>
      </c>
      <c r="C32" s="19">
        <f t="shared" si="2"/>
        <v>0.4821883034</v>
      </c>
    </row>
    <row r="33" spans="1:3" ht="13.5">
      <c r="A33">
        <v>30</v>
      </c>
      <c r="B33" s="8">
        <f t="shared" si="0"/>
        <v>0.5282452126979607</v>
      </c>
      <c r="C33" s="19">
        <f t="shared" si="2"/>
        <v>0.4936992</v>
      </c>
    </row>
    <row r="34" spans="1:3" ht="13.5">
      <c r="A34">
        <v>31</v>
      </c>
      <c r="B34" s="8">
        <f t="shared" si="0"/>
        <v>0.5420761355889402</v>
      </c>
      <c r="C34" s="19">
        <f t="shared" si="2"/>
        <v>0.5055177446000001</v>
      </c>
    </row>
    <row r="35" spans="1:3" ht="13.5">
      <c r="A35">
        <v>32</v>
      </c>
      <c r="B35" s="8">
        <f t="shared" si="0"/>
        <v>0.5564144298950766</v>
      </c>
      <c r="C35" s="19">
        <f t="shared" si="2"/>
        <v>0.5176673408000001</v>
      </c>
    </row>
    <row r="36" spans="1:3" ht="13.5">
      <c r="A36">
        <v>33</v>
      </c>
      <c r="B36" s="8">
        <f t="shared" si="0"/>
        <v>0.5715011558408539</v>
      </c>
      <c r="C36" s="19">
        <f>(0.177+A36*(0.012963+A36*(-0.00019723+A36*0.0000039006)))</f>
        <v>0.5301713922</v>
      </c>
    </row>
    <row r="37" spans="1:3" ht="13.5">
      <c r="A37">
        <v>34</v>
      </c>
      <c r="B37" s="8">
        <f t="shared" si="0"/>
        <v>0.5876590510297204</v>
      </c>
      <c r="C37" s="19">
        <f>(0.177+A37*(0.012963+A37*(-0.00019723+A37*0.0000039006)))</f>
        <v>0.5430533023999999</v>
      </c>
    </row>
    <row r="38" spans="1:3" ht="13.5">
      <c r="A38">
        <f>pmelt</f>
        <v>34.338</v>
      </c>
      <c r="B38" s="8">
        <f t="shared" si="0"/>
        <v>0.5934341185081268</v>
      </c>
      <c r="C38" s="19">
        <f>(0.177+A38*(0.012963+A38*(-0.00019723+A38*0.0000039006)))</f>
        <v>0.5474969545208224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1">
      <selection activeCell="B22" sqref="B22"/>
    </sheetView>
  </sheetViews>
  <sheetFormatPr defaultColWidth="11.00390625" defaultRowHeight="12.75"/>
  <cols>
    <col min="3" max="4" width="11.75390625" style="0" customWidth="1"/>
  </cols>
  <sheetData>
    <row r="4" spans="2:5" ht="13.5">
      <c r="B4" t="s">
        <v>50</v>
      </c>
      <c r="C4" t="s">
        <v>51</v>
      </c>
      <c r="D4" t="s">
        <v>52</v>
      </c>
      <c r="E4" t="s">
        <v>53</v>
      </c>
    </row>
    <row r="5" spans="1:5" ht="13.5">
      <c r="A5">
        <v>0.001</v>
      </c>
      <c r="B5">
        <f aca="true" t="shared" si="0" ref="B5:B15">bcsgapa(A5)^2</f>
        <v>4.118142442283755</v>
      </c>
      <c r="C5">
        <f aca="true" t="shared" si="1" ref="C5:C15">(bcsgap(A5)*wcp(A5,dcpcn))^2</f>
        <v>3.461170015208802</v>
      </c>
      <c r="D5">
        <f aca="true" t="shared" si="2" ref="D5:D15">glambd0(A5,SQRT(C5))</f>
        <v>1.0000000000000397</v>
      </c>
      <c r="E5">
        <f aca="true" t="shared" si="3" ref="E5:E15">C5*g3d(A5,SQRT(C5))</f>
        <v>1.0000000000002387</v>
      </c>
    </row>
    <row r="6" spans="1:5" ht="13.5">
      <c r="A6">
        <v>0.1</v>
      </c>
      <c r="B6">
        <f t="shared" si="0"/>
        <v>4.117574397567402</v>
      </c>
      <c r="C6">
        <f t="shared" si="1"/>
        <v>3.461166523314841</v>
      </c>
      <c r="D6">
        <f t="shared" si="2"/>
        <v>0.9999996877632513</v>
      </c>
      <c r="E6">
        <f t="shared" si="3"/>
        <v>0.9999995022350756</v>
      </c>
    </row>
    <row r="7" spans="1:5" ht="13.5">
      <c r="A7">
        <v>0.2</v>
      </c>
      <c r="B7">
        <f t="shared" si="0"/>
        <v>4.108248631652568</v>
      </c>
      <c r="C7">
        <f t="shared" si="1"/>
        <v>3.4603124206423095</v>
      </c>
      <c r="D7">
        <f t="shared" si="2"/>
        <v>0.9999319992361281</v>
      </c>
      <c r="E7">
        <f t="shared" si="3"/>
        <v>0.9992744361794134</v>
      </c>
    </row>
    <row r="8" spans="1:5" ht="13.5">
      <c r="A8">
        <v>0.3</v>
      </c>
      <c r="B8">
        <f t="shared" si="0"/>
        <v>4.061339928602183</v>
      </c>
      <c r="C8">
        <f t="shared" si="1"/>
        <v>3.447812077693436</v>
      </c>
      <c r="D8">
        <f t="shared" si="2"/>
        <v>0.9982151921745949</v>
      </c>
      <c r="E8">
        <f t="shared" si="3"/>
        <v>0.9865073760104062</v>
      </c>
    </row>
    <row r="9" spans="1:5" ht="13.5">
      <c r="A9">
        <v>0.4</v>
      </c>
      <c r="B9">
        <f t="shared" si="0"/>
        <v>3.9308639816308015</v>
      </c>
      <c r="C9">
        <f t="shared" si="1"/>
        <v>3.3817720725251257</v>
      </c>
      <c r="D9">
        <f t="shared" si="2"/>
        <v>0.9902761137993707</v>
      </c>
      <c r="E9">
        <f t="shared" si="3"/>
        <v>0.9424650884860082</v>
      </c>
    </row>
    <row r="10" spans="1:5" ht="13.5">
      <c r="A10">
        <v>0.7</v>
      </c>
      <c r="B10">
        <f t="shared" si="0"/>
        <v>2.7176798871854424</v>
      </c>
      <c r="C10">
        <f t="shared" si="1"/>
        <v>2.5023093130930536</v>
      </c>
      <c r="D10">
        <f t="shared" si="2"/>
        <v>0.8823298065582262</v>
      </c>
      <c r="E10">
        <f t="shared" si="3"/>
        <v>0.6038258709623796</v>
      </c>
    </row>
    <row r="11" spans="1:5" ht="13.5">
      <c r="A11">
        <v>0.8</v>
      </c>
      <c r="B11">
        <f t="shared" si="0"/>
        <v>1.9876760448250108</v>
      </c>
      <c r="C11">
        <f t="shared" si="1"/>
        <v>1.8864810193164068</v>
      </c>
      <c r="D11">
        <f t="shared" si="2"/>
        <v>0.793726526479987</v>
      </c>
      <c r="E11">
        <f t="shared" si="3"/>
        <v>0.43338477710101686</v>
      </c>
    </row>
    <row r="12" spans="1:5" ht="13.5">
      <c r="A12">
        <v>0.9</v>
      </c>
      <c r="B12">
        <f t="shared" si="0"/>
        <v>1.082952028578784</v>
      </c>
      <c r="C12">
        <f t="shared" si="1"/>
        <v>1.0654597979038372</v>
      </c>
      <c r="D12">
        <f t="shared" si="2"/>
        <v>0.6366577274687875</v>
      </c>
      <c r="E12">
        <f t="shared" si="3"/>
        <v>0.23451261541585594</v>
      </c>
    </row>
    <row r="13" spans="1:5" ht="13.5">
      <c r="A13">
        <v>0.95</v>
      </c>
      <c r="B13">
        <f t="shared" si="0"/>
        <v>0.5639258672158879</v>
      </c>
      <c r="C13">
        <f t="shared" si="1"/>
        <v>0.5673609224542072</v>
      </c>
      <c r="D13">
        <f t="shared" si="2"/>
        <v>0.49262491460143176</v>
      </c>
      <c r="E13">
        <f t="shared" si="3"/>
        <v>0.12266671188070345</v>
      </c>
    </row>
    <row r="14" spans="1:5" ht="13.5">
      <c r="A14">
        <v>0.99</v>
      </c>
      <c r="B14">
        <f t="shared" si="0"/>
        <v>0.11639101040325127</v>
      </c>
      <c r="C14">
        <f t="shared" si="1"/>
        <v>0.11918504683349133</v>
      </c>
      <c r="D14">
        <f t="shared" si="2"/>
        <v>0.24811561620505151</v>
      </c>
      <c r="E14">
        <f t="shared" si="3"/>
        <v>0.02546821402691521</v>
      </c>
    </row>
    <row r="15" spans="1:5" ht="13.5">
      <c r="A15">
        <v>1</v>
      </c>
      <c r="B15">
        <f t="shared" si="0"/>
        <v>0</v>
      </c>
      <c r="C15">
        <f t="shared" si="1"/>
        <v>0</v>
      </c>
      <c r="D15">
        <f t="shared" si="2"/>
        <v>0</v>
      </c>
      <c r="E15">
        <f t="shared" si="3"/>
        <v>0</v>
      </c>
    </row>
    <row r="17" spans="1:4" ht="13.5">
      <c r="A17" t="s">
        <v>54</v>
      </c>
      <c r="B17">
        <v>0.5</v>
      </c>
      <c r="C17" t="s">
        <v>51</v>
      </c>
      <c r="D17">
        <f>(bcsgap(B17)*wcp(B17,dcpcn))^2</f>
        <v>3.2235169672058266</v>
      </c>
    </row>
    <row r="18" spans="2:4" ht="13.5">
      <c r="B18" t="s">
        <v>55</v>
      </c>
      <c r="C18" t="s">
        <v>56</v>
      </c>
      <c r="D18" t="s">
        <v>57</v>
      </c>
    </row>
    <row r="19" spans="1:4" ht="13.5">
      <c r="A19">
        <v>0</v>
      </c>
      <c r="B19">
        <f aca="true" t="shared" si="4" ref="B19:B39">bcsgap(A19)</f>
        <v>1.763878268313657</v>
      </c>
      <c r="C19">
        <f>1-B19^2*g3d(A19,B19)</f>
        <v>0</v>
      </c>
      <c r="D19">
        <f>(1-C19)/(1+f1s*C19/3)</f>
        <v>1</v>
      </c>
    </row>
    <row r="20" spans="1:4" ht="13.5">
      <c r="A20">
        <v>0.05</v>
      </c>
      <c r="B20">
        <f t="shared" si="4"/>
        <v>1.7638780078951062</v>
      </c>
      <c r="C20">
        <f>1-B20^2*g3d(A20,B20)</f>
        <v>5.102563578329722E-07</v>
      </c>
      <c r="D20">
        <f aca="true" t="shared" si="5" ref="D20:D39">(1-C20)/(1+f1s*C20/3)</f>
        <v>0.9999974633433462</v>
      </c>
    </row>
    <row r="21" spans="1:4" ht="13.5">
      <c r="A21">
        <v>0.1</v>
      </c>
      <c r="B21">
        <f>bcsgap(A21)</f>
        <v>1.7638773785456545</v>
      </c>
      <c r="C21">
        <f aca="true" t="shared" si="6" ref="C21:C39">1-B21^2*g3d(A21,B21)</f>
        <v>6.161235033275148E-07</v>
      </c>
      <c r="D21">
        <f t="shared" si="5"/>
        <v>0.9999969370433052</v>
      </c>
    </row>
    <row r="22" spans="1:4" ht="13.5">
      <c r="A22">
        <v>0.15</v>
      </c>
      <c r="B22">
        <f t="shared" si="4"/>
        <v>1.7638672153623978</v>
      </c>
      <c r="C22">
        <f t="shared" si="6"/>
        <v>6.949837326264419E-05</v>
      </c>
      <c r="D22">
        <f t="shared" si="5"/>
        <v>0.9996545947513673</v>
      </c>
    </row>
    <row r="23" spans="1:4" ht="13.5">
      <c r="A23">
        <v>0.2</v>
      </c>
      <c r="B23">
        <f t="shared" si="4"/>
        <v>1.763659731500203</v>
      </c>
      <c r="C23">
        <f t="shared" si="6"/>
        <v>0.0011468743214932964</v>
      </c>
      <c r="D23">
        <f t="shared" si="5"/>
        <v>0.9943243394992313</v>
      </c>
    </row>
    <row r="24" spans="1:4" ht="13.5">
      <c r="A24">
        <v>0.25</v>
      </c>
      <c r="B24">
        <f t="shared" si="4"/>
        <v>1.762457675381767</v>
      </c>
      <c r="C24">
        <f t="shared" si="6"/>
        <v>0.006061765595160806</v>
      </c>
      <c r="D24">
        <f t="shared" si="5"/>
        <v>0.9705732564285616</v>
      </c>
    </row>
    <row r="25" spans="1:4" ht="13.5">
      <c r="A25">
        <v>0.3</v>
      </c>
      <c r="B25">
        <f t="shared" si="4"/>
        <v>1.758803714696305</v>
      </c>
      <c r="C25">
        <f t="shared" si="6"/>
        <v>0.01823973118658151</v>
      </c>
      <c r="D25">
        <f t="shared" si="5"/>
        <v>0.9154485490474464</v>
      </c>
    </row>
    <row r="26" spans="1:4" ht="13.5">
      <c r="A26">
        <v>0.35</v>
      </c>
      <c r="B26">
        <f t="shared" si="4"/>
        <v>1.751005878371574</v>
      </c>
      <c r="C26">
        <f t="shared" si="6"/>
        <v>0.03997229229284105</v>
      </c>
      <c r="D26">
        <f t="shared" si="5"/>
        <v>0.828507257015443</v>
      </c>
    </row>
    <row r="27" spans="1:4" ht="13.5">
      <c r="A27">
        <v>0.4</v>
      </c>
      <c r="B27">
        <f t="shared" si="4"/>
        <v>1.737478330442024</v>
      </c>
      <c r="C27">
        <f t="shared" si="6"/>
        <v>0.07207782898478132</v>
      </c>
      <c r="D27">
        <f t="shared" si="5"/>
        <v>0.7214188279792128</v>
      </c>
    </row>
    <row r="28" spans="1:4" ht="13.5">
      <c r="A28">
        <v>0.45</v>
      </c>
      <c r="B28">
        <f t="shared" si="4"/>
        <v>1.716833137885682</v>
      </c>
      <c r="C28">
        <f t="shared" si="6"/>
        <v>0.11433303014744212</v>
      </c>
      <c r="D28">
        <f t="shared" si="5"/>
        <v>0.6091009114645064</v>
      </c>
    </row>
    <row r="29" spans="1:4" ht="13.5">
      <c r="A29">
        <v>0.5</v>
      </c>
      <c r="B29">
        <f t="shared" si="4"/>
        <v>1.6878269522323524</v>
      </c>
      <c r="C29">
        <f t="shared" si="6"/>
        <v>0.16596233000682015</v>
      </c>
      <c r="D29">
        <f t="shared" si="5"/>
        <v>0.5027066622438034</v>
      </c>
    </row>
    <row r="30" spans="1:4" ht="13.5">
      <c r="A30">
        <v>0.55</v>
      </c>
      <c r="B30">
        <f t="shared" si="4"/>
        <v>1.6492549844762152</v>
      </c>
      <c r="C30">
        <f t="shared" si="6"/>
        <v>0.2259704095621422</v>
      </c>
      <c r="D30">
        <f t="shared" si="5"/>
        <v>0.4079407102390119</v>
      </c>
    </row>
    <row r="31" spans="1:4" ht="13.5">
      <c r="A31">
        <v>0.6</v>
      </c>
      <c r="B31">
        <f t="shared" si="4"/>
        <v>1.5998257987715625</v>
      </c>
      <c r="C31">
        <f t="shared" si="6"/>
        <v>0.2933275423022007</v>
      </c>
      <c r="D31">
        <f t="shared" si="5"/>
        <v>0.326421823469288</v>
      </c>
    </row>
    <row r="32" spans="1:4" ht="13.5">
      <c r="A32">
        <v>0.65</v>
      </c>
      <c r="B32">
        <f t="shared" si="4"/>
        <v>1.5380125525903696</v>
      </c>
      <c r="C32">
        <f t="shared" si="6"/>
        <v>0.3670600487725014</v>
      </c>
      <c r="D32">
        <f t="shared" si="5"/>
        <v>0.25753102615505896</v>
      </c>
    </row>
    <row r="33" spans="1:4" ht="13.5">
      <c r="A33">
        <v>0.7</v>
      </c>
      <c r="B33">
        <f t="shared" si="4"/>
        <v>1.4618500542970492</v>
      </c>
      <c r="C33">
        <f t="shared" si="6"/>
        <v>0.4462876181209391</v>
      </c>
      <c r="D33">
        <f t="shared" si="5"/>
        <v>0.199725763452822</v>
      </c>
    </row>
    <row r="34" spans="1:4" ht="13.5">
      <c r="A34">
        <v>0.75</v>
      </c>
      <c r="B34">
        <f t="shared" si="4"/>
        <v>1.3686095348156155</v>
      </c>
      <c r="C34">
        <f t="shared" si="6"/>
        <v>0.5302331932298646</v>
      </c>
      <c r="D34">
        <f t="shared" si="5"/>
        <v>0.15125758974766312</v>
      </c>
    </row>
    <row r="35" spans="1:4" ht="13.5">
      <c r="A35">
        <v>0.8</v>
      </c>
      <c r="B35">
        <f t="shared" si="4"/>
        <v>1.2541924679189962</v>
      </c>
      <c r="C35">
        <f t="shared" si="6"/>
        <v>0.618219709983275</v>
      </c>
      <c r="D35">
        <f t="shared" si="5"/>
        <v>0.11049551616872985</v>
      </c>
    </row>
    <row r="36" spans="1:4" ht="13.5">
      <c r="A36">
        <v>0.85</v>
      </c>
      <c r="B36">
        <f t="shared" si="4"/>
        <v>1.1118070545145866</v>
      </c>
      <c r="C36">
        <f t="shared" si="6"/>
        <v>0.7096612242846129</v>
      </c>
      <c r="D36">
        <f t="shared" si="5"/>
        <v>0.07603852526710768</v>
      </c>
    </row>
    <row r="37" spans="1:4" ht="13.5">
      <c r="A37">
        <v>0.9</v>
      </c>
      <c r="B37">
        <f t="shared" si="4"/>
        <v>0.9284024312300734</v>
      </c>
      <c r="C37">
        <f t="shared" si="6"/>
        <v>0.8040522382149078</v>
      </c>
      <c r="D37">
        <f t="shared" si="5"/>
        <v>0.04673020960690943</v>
      </c>
    </row>
    <row r="38" spans="1:4" ht="13.5">
      <c r="A38">
        <v>0.95</v>
      </c>
      <c r="B38">
        <f t="shared" si="4"/>
        <v>0.6708323194558611</v>
      </c>
      <c r="C38">
        <f t="shared" si="6"/>
        <v>0.9009570591376352</v>
      </c>
      <c r="D38">
        <f t="shared" si="5"/>
        <v>0.021634478509318333</v>
      </c>
    </row>
    <row r="39" spans="1:4" ht="13.5">
      <c r="A39">
        <v>1</v>
      </c>
      <c r="B39">
        <f t="shared" si="4"/>
        <v>0</v>
      </c>
      <c r="C39">
        <f t="shared" si="6"/>
        <v>1</v>
      </c>
      <c r="D39">
        <f t="shared" si="5"/>
        <v>0</v>
      </c>
    </row>
    <row r="41" ht="13.5">
      <c r="D41">
        <f>f1s</f>
        <v>11.914043236880111</v>
      </c>
    </row>
    <row r="43" ht="13.5">
      <c r="C43">
        <f>g3d(0.9,bcsgap(0.9))</f>
        <v>0.22733576688955642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</dc:creator>
  <cp:keywords/>
  <dc:description/>
  <cp:lastModifiedBy>Microsoft Office User</cp:lastModifiedBy>
  <cp:lastPrinted>2013-09-18T17:52:54Z</cp:lastPrinted>
  <dcterms:modified xsi:type="dcterms:W3CDTF">2019-09-26T20:08:18Z</dcterms:modified>
  <cp:category/>
  <cp:version/>
  <cp:contentType/>
  <cp:contentStatus/>
</cp:coreProperties>
</file>